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35" yWindow="405" windowWidth="18540" windowHeight="18150" tabRatio="498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(G)'!$Q$45:$R$68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(G)'!$B$1:$K$83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2" l="1"/>
  <c r="I57" i="1"/>
  <c r="F57" i="1"/>
  <c r="F12" i="1"/>
  <c r="H57" i="1" l="1"/>
  <c r="E57" i="1"/>
  <c r="E25" i="1" l="1"/>
  <c r="F25" i="1"/>
  <c r="H25" i="1"/>
  <c r="I25" i="1"/>
  <c r="G26" i="1"/>
  <c r="J26" i="1"/>
  <c r="G27" i="1"/>
  <c r="J27" i="1"/>
  <c r="G28" i="1"/>
  <c r="J28" i="1"/>
  <c r="E29" i="1"/>
  <c r="F29" i="1"/>
  <c r="F32" i="1" s="1"/>
  <c r="H29" i="1"/>
  <c r="I29" i="1"/>
  <c r="G30" i="1"/>
  <c r="J30" i="1"/>
  <c r="G31" i="1"/>
  <c r="J31" i="1"/>
  <c r="E32" i="1"/>
  <c r="H32" i="1"/>
  <c r="G29" i="1" l="1"/>
  <c r="J29" i="1"/>
  <c r="J25" i="1"/>
  <c r="G25" i="1"/>
  <c r="G32" i="1"/>
  <c r="I32" i="1"/>
  <c r="J32" i="1" s="1"/>
  <c r="F13" i="1" l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5" i="2" l="1"/>
  <c r="G34" i="2"/>
  <c r="G29" i="2"/>
  <c r="G33" i="2" l="1"/>
  <c r="D29" i="2"/>
  <c r="D35" i="2"/>
  <c r="D34" i="2"/>
  <c r="D33" i="2" l="1"/>
  <c r="H29" i="2"/>
  <c r="H35" i="2" l="1"/>
  <c r="H34" i="2"/>
  <c r="H33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G43" i="1" l="1"/>
  <c r="U61" i="1"/>
  <c r="E29" i="2"/>
  <c r="S41" i="1"/>
  <c r="E34" i="2"/>
  <c r="S42" i="1"/>
  <c r="E35" i="2"/>
  <c r="G42" i="1"/>
  <c r="F59" i="1"/>
  <c r="U59" i="1" s="1"/>
  <c r="S40" i="1"/>
  <c r="F60" i="1"/>
  <c r="U58" i="1" s="1"/>
  <c r="S39" i="1"/>
  <c r="E33" i="2" l="1"/>
  <c r="E33" i="10"/>
  <c r="N10" i="2" l="1"/>
  <c r="N13" i="2"/>
  <c r="N14" i="2"/>
  <c r="N15" i="2"/>
  <c r="N16" i="2"/>
  <c r="N9" i="2"/>
  <c r="G59" i="1" l="1"/>
  <c r="H14" i="6" l="1"/>
  <c r="G14" i="6"/>
  <c r="I13" i="6"/>
  <c r="I12" i="6"/>
  <c r="I11" i="6"/>
  <c r="I10" i="6"/>
  <c r="I80" i="2"/>
  <c r="H58" i="2"/>
  <c r="G58" i="2"/>
  <c r="I36" i="2"/>
  <c r="I35" i="2"/>
  <c r="I34" i="2"/>
  <c r="I33" i="2"/>
  <c r="I30" i="2"/>
  <c r="I29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8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81" i="2" s="1"/>
  <c r="H40" i="1"/>
  <c r="G81" i="2" s="1"/>
  <c r="H32" i="2" l="1"/>
  <c r="G82" i="2"/>
  <c r="I81" i="2"/>
  <c r="H82" i="2"/>
  <c r="H48" i="1"/>
  <c r="G32" i="2"/>
  <c r="J45" i="1"/>
  <c r="J40" i="1"/>
  <c r="J56" i="1"/>
  <c r="H65" i="1"/>
  <c r="J61" i="1"/>
  <c r="I65" i="1"/>
  <c r="I48" i="1"/>
  <c r="D33" i="10"/>
  <c r="G37" i="2" l="1"/>
  <c r="G57" i="2"/>
  <c r="G59" i="2" s="1"/>
  <c r="G60" i="2" s="1"/>
  <c r="I32" i="2"/>
  <c r="H57" i="2"/>
  <c r="H37" i="2"/>
  <c r="J48" i="1"/>
  <c r="J65" i="1"/>
  <c r="E58" i="2"/>
  <c r="D58" i="2"/>
  <c r="I37" i="2" l="1"/>
  <c r="H59" i="2"/>
  <c r="I57" i="2"/>
  <c r="N66" i="2"/>
  <c r="M66" i="2"/>
  <c r="H60" i="2" l="1"/>
  <c r="I59" i="2"/>
  <c r="O78" i="2"/>
  <c r="N78" i="2"/>
  <c r="F80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8" i="2" l="1"/>
  <c r="O29" i="2"/>
  <c r="O32" i="2"/>
  <c r="O33" i="2"/>
  <c r="O34" i="2"/>
  <c r="O35" i="2"/>
  <c r="N35" i="2"/>
  <c r="N34" i="2"/>
  <c r="N33" i="2"/>
  <c r="N32" i="2"/>
  <c r="N29" i="2"/>
  <c r="N28" i="2"/>
  <c r="T60" i="1"/>
  <c r="T58" i="1"/>
  <c r="S14" i="1"/>
  <c r="S13" i="1"/>
  <c r="S12" i="1"/>
  <c r="S11" i="1"/>
  <c r="S15" i="1"/>
  <c r="U64" i="1" l="1"/>
  <c r="W59" i="1" s="1"/>
  <c r="T64" i="1"/>
  <c r="V59" i="1" s="1"/>
  <c r="F36" i="2"/>
  <c r="F35" i="2"/>
  <c r="F34" i="2"/>
  <c r="F33" i="2"/>
  <c r="F30" i="2"/>
  <c r="F29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1" i="1"/>
  <c r="F40" i="1"/>
  <c r="E81" i="2" s="1"/>
  <c r="E40" i="1"/>
  <c r="D81" i="2" s="1"/>
  <c r="S24" i="1"/>
  <c r="R24" i="1"/>
  <c r="E16" i="1"/>
  <c r="D16" i="1"/>
  <c r="F14" i="1"/>
  <c r="F15" i="1"/>
  <c r="R25" i="1" l="1"/>
  <c r="S25" i="1"/>
  <c r="O79" i="2"/>
  <c r="E82" i="2"/>
  <c r="F81" i="2"/>
  <c r="N79" i="2"/>
  <c r="D82" i="2"/>
  <c r="E48" i="1"/>
  <c r="G45" i="1"/>
  <c r="G40" i="1"/>
  <c r="D32" i="2"/>
  <c r="F48" i="1"/>
  <c r="F16" i="1"/>
  <c r="E32" i="2"/>
  <c r="G12" i="1" l="1"/>
  <c r="G13" i="1"/>
  <c r="D17" i="1"/>
  <c r="G14" i="1"/>
  <c r="D57" i="2"/>
  <c r="M65" i="2" s="1"/>
  <c r="N30" i="2"/>
  <c r="D37" i="2"/>
  <c r="N12" i="2"/>
  <c r="N17" i="2" s="1"/>
  <c r="E57" i="2"/>
  <c r="N65" i="2" s="1"/>
  <c r="O30" i="2"/>
  <c r="E37" i="2"/>
  <c r="F32" i="2"/>
  <c r="G48" i="1"/>
  <c r="G15" i="1"/>
  <c r="E17" i="1"/>
  <c r="F37" i="2" l="1"/>
  <c r="N36" i="2"/>
  <c r="M44" i="2" s="1"/>
  <c r="O36" i="2"/>
  <c r="N44" i="2" s="1"/>
  <c r="E14" i="6"/>
  <c r="D14" i="6"/>
  <c r="M49" i="2" l="1"/>
  <c r="M43" i="2"/>
  <c r="M46" i="2"/>
  <c r="M47" i="2"/>
  <c r="M42" i="2"/>
  <c r="M45" i="2"/>
  <c r="M48" i="2"/>
  <c r="N49" i="2"/>
  <c r="N43" i="2"/>
  <c r="N46" i="2"/>
  <c r="N45" i="2"/>
  <c r="N48" i="2"/>
  <c r="N42" i="2"/>
  <c r="N47" i="2"/>
  <c r="F14" i="6"/>
  <c r="M51" i="2" l="1"/>
  <c r="N51" i="2"/>
  <c r="H56" i="6"/>
  <c r="H57" i="6"/>
  <c r="H58" i="6"/>
  <c r="H59" i="6"/>
  <c r="F58" i="2" l="1"/>
  <c r="F57" i="2"/>
  <c r="F13" i="6" l="1"/>
  <c r="F12" i="6"/>
  <c r="F11" i="6"/>
  <c r="F10" i="6"/>
  <c r="E60" i="6"/>
  <c r="F60" i="6"/>
  <c r="G60" i="6"/>
  <c r="D60" i="6"/>
  <c r="E59" i="2"/>
  <c r="D59" i="2"/>
  <c r="D60" i="2" s="1"/>
  <c r="H60" i="6" l="1"/>
  <c r="E60" i="2"/>
  <c r="F59" i="2"/>
</calcChain>
</file>

<file path=xl/sharedStrings.xml><?xml version="1.0" encoding="utf-8"?>
<sst xmlns="http://schemas.openxmlformats.org/spreadsheetml/2006/main" count="312" uniqueCount="135">
  <si>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</si>
  <si>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</si>
  <si>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</si>
  <si>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</si>
  <si>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</si>
  <si>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</si>
  <si>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</si>
  <si>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</si>
  <si>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</si>
  <si>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</si>
  <si>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</si>
  <si>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</si>
  <si>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</si>
  <si>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</si>
  <si>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</si>
  <si>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</si>
  <si>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</si>
  <si>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</si>
  <si>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</si>
  <si>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</si>
  <si>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</si>
  <si>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</si>
  <si>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</si>
  <si>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</si>
  <si>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</si>
  <si>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</si>
  <si>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</si>
  <si>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</si>
  <si>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</si>
  <si>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</si>
  <si>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</si>
  <si>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</si>
  <si>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</si>
  <si>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</si>
  <si>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</si>
  <si>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</si>
  <si>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</si>
  <si>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</si>
  <si>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</si>
  <si>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</si>
  <si>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</si>
  <si>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</si>
  <si>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</si>
  <si>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</si>
  <si>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</si>
  <si>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</si>
  <si>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</si>
  <si>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</si>
  <si>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</si>
  <si>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</si>
  <si>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</si>
  <si>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</si>
  <si>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</si>
  <si>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</si>
  <si>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</si>
  <si>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</si>
  <si>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</si>
  <si>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</si>
  <si>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</si>
  <si>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</si>
  <si>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</si>
  <si>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</si>
  <si>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</si>
  <si>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</si>
  <si>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</si>
  <si>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</si>
  <si>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</si>
  <si>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</si>
  <si>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</si>
  <si>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</si>
  <si>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</si>
  <si>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</si>
  <si>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</si>
  <si>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</si>
  <si>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</si>
  <si>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</si>
  <si>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</si>
  <si>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</si>
  <si>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</si>
  <si>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</si>
  <si>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</si>
  <si>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</si>
  <si>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</si>
  <si>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</si>
  <si>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</si>
  <si>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</si>
  <si>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</si>
  <si>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</si>
  <si>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</si>
  <si>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</si>
  <si>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</si>
  <si>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</si>
  <si>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</si>
  <si>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</si>
  <si>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</si>
  <si>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</si>
  <si>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</si>
  <si>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</si>
  <si>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</si>
  <si>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</si>
  <si>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</si>
  <si>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</si>
  <si>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</si>
  <si>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</si>
  <si>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</si>
  <si>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</si>
  <si>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</si>
  <si>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</si>
  <si>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</si>
  <si>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</si>
  <si>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</si>
  <si>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</si>
  <si>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</si>
  <si>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</si>
  <si>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</si>
  <si>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</si>
  <si>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</si>
  <si>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</si>
  <si>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Cuadro N° 2 : Producción de energía eléctrica nacional según sistema y mercado 2022 vs 2021</t>
  </si>
  <si>
    <t>Cuadro N° 4 : Producción de energía eléctrica nacional según destino y recurso 2022 vs 2021</t>
  </si>
  <si>
    <t>Cuadro N° 3 : Producción de energía eléctrica nacional según mercado 2022 vs 2021</t>
  </si>
  <si>
    <t>Cuadro N° 5: Producción de energía eléctrica nacional por tipo de recurso energético 2022 vs 2021</t>
  </si>
  <si>
    <t>Cuadro N° 6: Producción de energía eléctrica con Recurso Convencional y No Convencional 2022 vs 2021</t>
  </si>
  <si>
    <t>Cuadro N° 7: Producción de energía eléctrica según tipo de participación en el Mercado Eléctrico 2022 vs 2021</t>
  </si>
  <si>
    <t>3.1 Producción de energía eléctrica (GWh) nacional según zona 2022 vs 2021</t>
  </si>
  <si>
    <t>Calor de proceso</t>
  </si>
  <si>
    <t>1. RESUMEN NACIONAL AL MES DE DICIEMBRE 2022</t>
  </si>
  <si>
    <t>Diciembre</t>
  </si>
  <si>
    <t>Enero - Diciembre</t>
  </si>
  <si>
    <t>--</t>
  </si>
  <si>
    <t>Flexigas</t>
  </si>
  <si>
    <t>Grafico N° 11: Generación de energía eléctrica por Región, al mes de diciembre 2022</t>
  </si>
  <si>
    <t>Cuadro N° 8: Producción de energía eléctrica nacional por zona del país, al mes de diciembre</t>
  </si>
  <si>
    <t>Diciembre 2022</t>
  </si>
  <si>
    <t>3.2 Producción de energía eléctrica (GWh) por origen y zona al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</si>
</sst>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  <numFmt numFmtId="183" formatCode="_ * #,##0.0_ ;_ * \-#,##0.0_ ;_ * &quot;-&quot;??_ ;_ @_ 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64">
    <xf numFmtId="0" fontId="0" fillId="0" borderId="0" xfId="0"/>
    <xf numFmtId="0" fontId="20" fillId="0" borderId="0" xfId="0" applyFont="1" applyAlignment="1">
      <alignment vertical="center"/>
    </xf>
    <xf numFmtId="0" fontId="91" fillId="0" borderId="0" xfId="0" applyFont="1"/>
    <xf numFmtId="0" fontId="91" fillId="0" borderId="0" xfId="0" applyFont="1" applyAlignment="1">
      <alignment vertical="center" wrapText="1"/>
    </xf>
    <xf numFmtId="0" fontId="91" fillId="0" borderId="0" xfId="0" applyFont="1" applyAlignment="1">
      <alignment vertical="center"/>
    </xf>
    <xf numFmtId="0" fontId="92" fillId="0" borderId="0" xfId="0" applyFont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2" fillId="0" borderId="0" xfId="0" applyFont="1"/>
    <xf numFmtId="0" fontId="95" fillId="0" borderId="0" xfId="0" applyFont="1"/>
    <xf numFmtId="3" fontId="95" fillId="0" borderId="0" xfId="0" applyNumberFormat="1" applyFont="1"/>
    <xf numFmtId="0" fontId="96" fillId="0" borderId="0" xfId="0" applyFont="1"/>
    <xf numFmtId="0" fontId="0" fillId="64" borderId="0" xfId="0" applyFill="1"/>
    <xf numFmtId="0" fontId="0" fillId="64" borderId="15" xfId="0" applyFill="1" applyBorder="1"/>
    <xf numFmtId="0" fontId="0" fillId="0" borderId="15" xfId="0" applyBorder="1"/>
    <xf numFmtId="0" fontId="0" fillId="65" borderId="0" xfId="0" applyFill="1"/>
    <xf numFmtId="0" fontId="0" fillId="65" borderId="15" xfId="0" applyFill="1" applyBorder="1"/>
    <xf numFmtId="0" fontId="0" fillId="66" borderId="0" xfId="0" applyFill="1"/>
    <xf numFmtId="0" fontId="0" fillId="67" borderId="0" xfId="0" applyFill="1"/>
    <xf numFmtId="0" fontId="0" fillId="67" borderId="19" xfId="0" applyFill="1" applyBorder="1"/>
    <xf numFmtId="0" fontId="0" fillId="0" borderId="19" xfId="0" applyBorder="1"/>
    <xf numFmtId="0" fontId="97" fillId="0" borderId="0" xfId="0" applyFont="1"/>
    <xf numFmtId="167" fontId="95" fillId="0" borderId="0" xfId="0" applyNumberFormat="1" applyFont="1"/>
    <xf numFmtId="17" fontId="95" fillId="0" borderId="0" xfId="0" applyNumberFormat="1" applyFont="1" applyAlignment="1">
      <alignment horizontal="center" vertical="center"/>
    </xf>
    <xf numFmtId="0" fontId="95" fillId="0" borderId="0" xfId="0" applyFont="1" applyAlignment="1">
      <alignment horizontal="center" vertical="center" wrapText="1"/>
    </xf>
    <xf numFmtId="0" fontId="93" fillId="0" borderId="0" xfId="0" applyFont="1"/>
    <xf numFmtId="167" fontId="93" fillId="0" borderId="0" xfId="0" applyNumberFormat="1" applyFont="1"/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0" fontId="3" fillId="61" borderId="0" xfId="0" applyFont="1" applyFill="1" applyAlignment="1">
      <alignment vertical="center"/>
    </xf>
    <xf numFmtId="0" fontId="0" fillId="0" borderId="24" xfId="0" applyBorder="1"/>
    <xf numFmtId="1" fontId="0" fillId="0" borderId="24" xfId="0" applyNumberFormat="1" applyBorder="1"/>
    <xf numFmtId="0" fontId="100" fillId="0" borderId="0" xfId="0" applyFont="1"/>
    <xf numFmtId="0" fontId="100" fillId="62" borderId="0" xfId="0" applyFont="1" applyFill="1"/>
    <xf numFmtId="1" fontId="100" fillId="62" borderId="0" xfId="0" applyNumberFormat="1" applyFont="1" applyFill="1" applyAlignment="1">
      <alignment horizontal="right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2" fillId="62" borderId="0" xfId="0" applyFont="1" applyFill="1" applyAlignment="1">
      <alignment vertical="center"/>
    </xf>
    <xf numFmtId="1" fontId="100" fillId="62" borderId="0" xfId="0" applyNumberFormat="1" applyFont="1" applyFill="1" applyAlignment="1">
      <alignment horizontal="right" vertical="center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2" fillId="62" borderId="0" xfId="0" applyFont="1" applyFill="1" applyAlignment="1">
      <alignment horizontal="center" vertical="center"/>
    </xf>
    <xf numFmtId="0" fontId="102" fillId="63" borderId="0" xfId="0" applyFont="1" applyFill="1"/>
    <xf numFmtId="17" fontId="102" fillId="63" borderId="0" xfId="0" applyNumberFormat="1" applyFont="1" applyFill="1"/>
    <xf numFmtId="3" fontId="100" fillId="62" borderId="0" xfId="0" applyNumberFormat="1" applyFont="1" applyFill="1"/>
    <xf numFmtId="3" fontId="100" fillId="0" borderId="0" xfId="0" applyNumberFormat="1" applyFont="1"/>
    <xf numFmtId="3" fontId="102" fillId="63" borderId="0" xfId="0" applyNumberFormat="1" applyFont="1" applyFill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/>
    <xf numFmtId="1" fontId="100" fillId="0" borderId="0" xfId="0" applyNumberFormat="1" applyFont="1" applyAlignment="1">
      <alignment horizontal="center" vertical="center"/>
    </xf>
    <xf numFmtId="0" fontId="100" fillId="0" borderId="0" xfId="0" applyFont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/>
    <xf numFmtId="17" fontId="100" fillId="62" borderId="0" xfId="0" applyNumberFormat="1" applyFont="1" applyFill="1"/>
    <xf numFmtId="14" fontId="100" fillId="62" borderId="0" xfId="0" applyNumberFormat="1" applyFont="1" applyFill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Alignment="1">
      <alignment horizontal="center" vertical="center" wrapText="1"/>
    </xf>
    <xf numFmtId="0" fontId="0" fillId="68" borderId="0" xfId="0" applyFill="1"/>
    <xf numFmtId="0" fontId="95" fillId="68" borderId="0" xfId="0" applyFont="1" applyFill="1"/>
    <xf numFmtId="3" fontId="95" fillId="68" borderId="0" xfId="0" applyNumberFormat="1" applyFont="1" applyFill="1"/>
    <xf numFmtId="0" fontId="0" fillId="0" borderId="0" xfId="0" applyAlignment="1">
      <alignment horizontal="center"/>
    </xf>
    <xf numFmtId="9" fontId="96" fillId="0" borderId="0" xfId="33743" applyFont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Alignment="1">
      <alignment horizontal="center"/>
    </xf>
    <xf numFmtId="0" fontId="92" fillId="69" borderId="59" xfId="0" applyFont="1" applyFill="1" applyBorder="1" applyAlignment="1">
      <alignment horizontal="center"/>
    </xf>
    <xf numFmtId="4" fontId="100" fillId="62" borderId="0" xfId="0" applyNumberFormat="1" applyFont="1" applyFill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/>
    <xf numFmtId="43" fontId="0" fillId="0" borderId="0" xfId="0" applyNumberFormat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0" fillId="69" borderId="52" xfId="0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32" xfId="0" applyFill="1" applyBorder="1"/>
    <xf numFmtId="0" fontId="0" fillId="68" borderId="42" xfId="0" applyFill="1" applyBorder="1"/>
    <xf numFmtId="0" fontId="0" fillId="68" borderId="30" xfId="0" applyFill="1" applyBorder="1"/>
    <xf numFmtId="0" fontId="0" fillId="68" borderId="45" xfId="0" applyFill="1" applyBorder="1"/>
    <xf numFmtId="0" fontId="0" fillId="68" borderId="0" xfId="0" applyFill="1" applyAlignment="1">
      <alignment horizontal="left" indent="2"/>
    </xf>
    <xf numFmtId="3" fontId="0" fillId="68" borderId="32" xfId="0" applyNumberFormat="1" applyFill="1" applyBorder="1"/>
    <xf numFmtId="3" fontId="0" fillId="68" borderId="42" xfId="0" applyNumberFormat="1" applyFill="1" applyBorder="1"/>
    <xf numFmtId="3" fontId="0" fillId="68" borderId="30" xfId="0" applyNumberFormat="1" applyFill="1" applyBorder="1"/>
    <xf numFmtId="4" fontId="0" fillId="68" borderId="42" xfId="0" applyNumberFormat="1" applyFill="1" applyBorder="1"/>
    <xf numFmtId="0" fontId="0" fillId="68" borderId="27" xfId="0" applyFill="1" applyBorder="1" applyAlignment="1">
      <alignment horizontal="left" indent="2"/>
    </xf>
    <xf numFmtId="3" fontId="0" fillId="68" borderId="34" xfId="0" applyNumberFormat="1" applyFill="1" applyBorder="1"/>
    <xf numFmtId="4" fontId="0" fillId="68" borderId="41" xfId="0" applyNumberFormat="1" applyFill="1" applyBorder="1"/>
    <xf numFmtId="3" fontId="0" fillId="68" borderId="29" xfId="0" applyNumberFormat="1" applyFill="1" applyBorder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Alignment="1">
      <alignment horizontal="left" indent="5"/>
    </xf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ill="1"/>
    <xf numFmtId="9" fontId="96" fillId="68" borderId="0" xfId="33743" applyFont="1" applyFill="1" applyAlignment="1">
      <alignment horizontal="center"/>
    </xf>
    <xf numFmtId="179" fontId="0" fillId="68" borderId="0" xfId="0" applyNumberFormat="1" applyFill="1"/>
    <xf numFmtId="0" fontId="0" fillId="68" borderId="56" xfId="0" applyFill="1" applyBorder="1" applyAlignment="1">
      <alignment vertical="center"/>
    </xf>
    <xf numFmtId="3" fontId="0" fillId="68" borderId="16" xfId="0" applyNumberFormat="1" applyFill="1" applyBorder="1" applyAlignment="1">
      <alignment vertical="center"/>
    </xf>
    <xf numFmtId="3" fontId="0" fillId="68" borderId="60" xfId="0" applyNumberFormat="1" applyFill="1" applyBorder="1" applyAlignment="1">
      <alignment vertical="center"/>
    </xf>
    <xf numFmtId="9" fontId="96" fillId="68" borderId="25" xfId="33743" applyFont="1" applyFill="1" applyBorder="1" applyAlignment="1">
      <alignment horizontal="center" vertical="center"/>
    </xf>
    <xf numFmtId="0" fontId="0" fillId="68" borderId="49" xfId="0" applyFill="1" applyBorder="1" applyAlignment="1">
      <alignment vertical="center"/>
    </xf>
    <xf numFmtId="3" fontId="0" fillId="68" borderId="0" xfId="0" applyNumberFormat="1" applyFill="1" applyAlignment="1">
      <alignment vertical="center"/>
    </xf>
    <xf numFmtId="3" fontId="0" fillId="68" borderId="61" xfId="0" applyNumberFormat="1" applyFill="1" applyBorder="1" applyAlignment="1">
      <alignment vertical="center"/>
    </xf>
    <xf numFmtId="9" fontId="96" fillId="68" borderId="32" xfId="33743" applyFont="1" applyFill="1" applyBorder="1" applyAlignment="1">
      <alignment horizontal="center" vertical="center"/>
    </xf>
    <xf numFmtId="0" fontId="0" fillId="68" borderId="48" xfId="0" applyFill="1" applyBorder="1" applyAlignment="1">
      <alignment vertical="center"/>
    </xf>
    <xf numFmtId="9" fontId="96" fillId="68" borderId="34" xfId="33743" applyFont="1" applyFill="1" applyBorder="1" applyAlignment="1">
      <alignment horizontal="center" vertical="center"/>
    </xf>
    <xf numFmtId="3" fontId="3" fillId="68" borderId="0" xfId="0" applyNumberFormat="1" applyFont="1" applyFill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ill="1" applyBorder="1"/>
    <xf numFmtId="0" fontId="0" fillId="71" borderId="41" xfId="0" applyFill="1" applyBorder="1"/>
    <xf numFmtId="0" fontId="0" fillId="71" borderId="29" xfId="0" applyFill="1" applyBorder="1"/>
    <xf numFmtId="0" fontId="0" fillId="71" borderId="44" xfId="0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ill="1" applyBorder="1"/>
    <xf numFmtId="3" fontId="0" fillId="71" borderId="23" xfId="0" applyNumberForma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Font="1" applyFill="1" applyBorder="1"/>
    <xf numFmtId="0" fontId="93" fillId="68" borderId="0" xfId="0" applyFont="1" applyFill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/>
    <xf numFmtId="0" fontId="0" fillId="68" borderId="16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/>
    <xf numFmtId="3" fontId="3" fillId="69" borderId="39" xfId="0" applyNumberFormat="1" applyFont="1" applyFill="1" applyBorder="1"/>
    <xf numFmtId="1" fontId="100" fillId="0" borderId="0" xfId="0" applyNumberFormat="1" applyFont="1"/>
    <xf numFmtId="0" fontId="92" fillId="68" borderId="81" xfId="0" applyFont="1" applyFill="1" applyBorder="1" applyAlignment="1">
      <alignment horizontal="center"/>
    </xf>
    <xf numFmtId="3" fontId="0" fillId="71" borderId="82" xfId="0" applyNumberFormat="1" applyFill="1" applyBorder="1"/>
    <xf numFmtId="3" fontId="0" fillId="68" borderId="81" xfId="0" applyNumberFormat="1" applyFill="1" applyBorder="1"/>
    <xf numFmtId="3" fontId="0" fillId="68" borderId="83" xfId="0" applyNumberFormat="1" applyFill="1" applyBorder="1"/>
    <xf numFmtId="3" fontId="0" fillId="71" borderId="84" xfId="0" applyNumberFormat="1" applyFill="1" applyBorder="1"/>
    <xf numFmtId="0" fontId="92" fillId="69" borderId="81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5" fillId="70" borderId="84" xfId="0" applyNumberFormat="1" applyFont="1" applyFill="1" applyBorder="1"/>
    <xf numFmtId="178" fontId="98" fillId="70" borderId="88" xfId="33743" applyNumberFormat="1" applyFont="1" applyFill="1" applyBorder="1"/>
    <xf numFmtId="0" fontId="0" fillId="71" borderId="89" xfId="0" applyFill="1" applyBorder="1" applyAlignment="1">
      <alignment horizontal="center"/>
    </xf>
    <xf numFmtId="3" fontId="0" fillId="71" borderId="90" xfId="0" applyNumberFormat="1" applyFill="1" applyBorder="1"/>
    <xf numFmtId="3" fontId="0" fillId="71" borderId="91" xfId="0" applyNumberFormat="1" applyFill="1" applyBorder="1"/>
    <xf numFmtId="3" fontId="0" fillId="71" borderId="92" xfId="0" applyNumberFormat="1" applyFill="1" applyBorder="1"/>
    <xf numFmtId="0" fontId="0" fillId="71" borderId="93" xfId="0" applyFill="1" applyBorder="1"/>
    <xf numFmtId="0" fontId="0" fillId="71" borderId="15" xfId="0" applyFill="1" applyBorder="1" applyAlignment="1">
      <alignment horizontal="center"/>
    </xf>
    <xf numFmtId="4" fontId="0" fillId="71" borderId="75" xfId="0" applyNumberFormat="1" applyFill="1" applyBorder="1"/>
    <xf numFmtId="0" fontId="0" fillId="71" borderId="95" xfId="0" applyFill="1" applyBorder="1"/>
    <xf numFmtId="3" fontId="0" fillId="68" borderId="85" xfId="0" applyNumberFormat="1" applyFill="1" applyBorder="1" applyAlignment="1">
      <alignment vertical="center"/>
    </xf>
    <xf numFmtId="3" fontId="0" fillId="68" borderId="81" xfId="0" applyNumberFormat="1" applyFill="1" applyBorder="1" applyAlignment="1">
      <alignment vertical="center"/>
    </xf>
    <xf numFmtId="3" fontId="95" fillId="70" borderId="97" xfId="0" applyNumberFormat="1" applyFont="1" applyFill="1" applyBorder="1" applyAlignment="1">
      <alignment horizontal="center" vertical="center"/>
    </xf>
    <xf numFmtId="178" fontId="98" fillId="70" borderId="9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/>
    <xf numFmtId="167" fontId="35" fillId="0" borderId="0" xfId="0" applyNumberFormat="1" applyFont="1"/>
    <xf numFmtId="167" fontId="100" fillId="0" borderId="0" xfId="0" applyNumberFormat="1" applyFont="1"/>
    <xf numFmtId="181" fontId="95" fillId="0" borderId="0" xfId="0" applyNumberFormat="1" applyFont="1"/>
    <xf numFmtId="0" fontId="105" fillId="0" borderId="0" xfId="0" applyFont="1"/>
    <xf numFmtId="0" fontId="106" fillId="0" borderId="0" xfId="0" applyFont="1"/>
    <xf numFmtId="0" fontId="0" fillId="68" borderId="16" xfId="0" applyFill="1" applyBorder="1" applyAlignment="1">
      <alignment horizontal="left" indent="1"/>
    </xf>
    <xf numFmtId="0" fontId="0" fillId="68" borderId="100" xfId="0" applyFill="1" applyBorder="1" applyAlignment="1">
      <alignment horizontal="left" vertical="center" indent="1"/>
    </xf>
    <xf numFmtId="0" fontId="0" fillId="68" borderId="0" xfId="0" applyFill="1" applyAlignment="1">
      <alignment horizontal="left" indent="1"/>
    </xf>
    <xf numFmtId="3" fontId="0" fillId="68" borderId="101" xfId="0" applyNumberFormat="1" applyFill="1" applyBorder="1"/>
    <xf numFmtId="3" fontId="0" fillId="68" borderId="102" xfId="0" applyNumberFormat="1" applyFill="1" applyBorder="1"/>
    <xf numFmtId="3" fontId="0" fillId="68" borderId="104" xfId="0" applyNumberFormat="1" applyFill="1" applyBorder="1"/>
    <xf numFmtId="0" fontId="0" fillId="68" borderId="0" xfId="0" applyFill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/>
    <xf numFmtId="0" fontId="0" fillId="68" borderId="40" xfId="0" applyFill="1" applyBorder="1" applyAlignment="1">
      <alignment horizontal="left" indent="1"/>
    </xf>
    <xf numFmtId="0" fontId="0" fillId="68" borderId="105" xfId="0" applyFill="1" applyBorder="1" applyAlignment="1">
      <alignment horizontal="left" indent="1"/>
    </xf>
    <xf numFmtId="0" fontId="0" fillId="68" borderId="94" xfId="0" applyFill="1" applyBorder="1" applyAlignment="1">
      <alignment horizontal="left" indent="1"/>
    </xf>
    <xf numFmtId="9" fontId="96" fillId="68" borderId="103" xfId="33743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5" xfId="0" applyFill="1" applyBorder="1"/>
    <xf numFmtId="0" fontId="0" fillId="68" borderId="42" xfId="0" applyFill="1" applyBorder="1" applyAlignment="1">
      <alignment wrapText="1"/>
    </xf>
    <xf numFmtId="0" fontId="0" fillId="68" borderId="94" xfId="0" applyFill="1" applyBorder="1"/>
    <xf numFmtId="0" fontId="0" fillId="68" borderId="41" xfId="0" applyFill="1" applyBorder="1"/>
    <xf numFmtId="3" fontId="99" fillId="0" borderId="107" xfId="0" applyNumberFormat="1" applyFont="1" applyBorder="1"/>
    <xf numFmtId="3" fontId="99" fillId="0" borderId="108" xfId="0" applyNumberFormat="1" applyFont="1" applyBorder="1"/>
    <xf numFmtId="3" fontId="95" fillId="69" borderId="106" xfId="0" applyNumberFormat="1" applyFont="1" applyFill="1" applyBorder="1"/>
    <xf numFmtId="0" fontId="0" fillId="68" borderId="18" xfId="0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Font="1" applyFill="1" applyBorder="1" applyAlignment="1">
      <alignment horizontal="center" vertical="center"/>
    </xf>
    <xf numFmtId="3" fontId="0" fillId="68" borderId="96" xfId="0" applyNumberFormat="1" applyFill="1" applyBorder="1" applyAlignment="1">
      <alignment horizontal="center" vertical="center"/>
    </xf>
    <xf numFmtId="0" fontId="0" fillId="68" borderId="19" xfId="0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/>
    <xf numFmtId="0" fontId="105" fillId="68" borderId="0" xfId="0" applyFont="1" applyFill="1"/>
    <xf numFmtId="0" fontId="0" fillId="0" borderId="111" xfId="0" applyBorder="1" applyAlignment="1">
      <alignment horizontal="center" vertical="center"/>
    </xf>
    <xf numFmtId="0" fontId="0" fillId="68" borderId="112" xfId="0" applyFill="1" applyBorder="1" applyAlignment="1">
      <alignment wrapText="1"/>
    </xf>
    <xf numFmtId="9" fontId="96" fillId="68" borderId="115" xfId="33743" applyFont="1" applyFill="1" applyBorder="1" applyAlignment="1">
      <alignment horizontal="center"/>
    </xf>
    <xf numFmtId="167" fontId="99" fillId="0" borderId="107" xfId="0" applyNumberFormat="1" applyFont="1" applyBorder="1"/>
    <xf numFmtId="9" fontId="103" fillId="71" borderId="26" xfId="33743" applyFont="1" applyFill="1" applyBorder="1" applyAlignment="1">
      <alignment horizontal="center"/>
    </xf>
    <xf numFmtId="9" fontId="103" fillId="71" borderId="94" xfId="33743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0" fontId="102" fillId="61" borderId="0" xfId="0" applyFont="1" applyFill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6" xfId="0" applyNumberFormat="1" applyFill="1" applyBorder="1"/>
    <xf numFmtId="3" fontId="0" fillId="0" borderId="102" xfId="0" applyNumberFormat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5" xfId="33743" applyNumberFormat="1" applyFont="1" applyFill="1" applyBorder="1"/>
    <xf numFmtId="3" fontId="93" fillId="68" borderId="81" xfId="33743" applyNumberFormat="1" applyFont="1" applyFill="1" applyBorder="1"/>
    <xf numFmtId="3" fontId="93" fillId="68" borderId="99" xfId="33743" applyNumberFormat="1" applyFont="1" applyFill="1" applyBorder="1"/>
    <xf numFmtId="3" fontId="95" fillId="69" borderId="84" xfId="0" applyNumberFormat="1" applyFont="1" applyFill="1" applyBorder="1"/>
    <xf numFmtId="0" fontId="92" fillId="69" borderId="117" xfId="0" applyFont="1" applyFill="1" applyBorder="1" applyAlignment="1">
      <alignment horizontal="center"/>
    </xf>
    <xf numFmtId="167" fontId="99" fillId="0" borderId="86" xfId="0" applyNumberFormat="1" applyFont="1" applyBorder="1"/>
    <xf numFmtId="167" fontId="99" fillId="0" borderId="78" xfId="0" applyNumberFormat="1" applyFont="1" applyBorder="1"/>
    <xf numFmtId="0" fontId="0" fillId="0" borderId="24" xfId="0" applyBorder="1" applyAlignment="1">
      <alignment horizontal="center"/>
    </xf>
    <xf numFmtId="3" fontId="99" fillId="0" borderId="60" xfId="0" applyNumberFormat="1" applyFont="1" applyBorder="1"/>
    <xf numFmtId="3" fontId="0" fillId="68" borderId="60" xfId="0" applyNumberFormat="1" applyFill="1" applyBorder="1"/>
    <xf numFmtId="0" fontId="3" fillId="69" borderId="118" xfId="0" applyFont="1" applyFill="1" applyBorder="1"/>
    <xf numFmtId="0" fontId="92" fillId="69" borderId="119" xfId="0" applyFont="1" applyFill="1" applyBorder="1" applyAlignment="1">
      <alignment horizontal="center"/>
    </xf>
    <xf numFmtId="3" fontId="0" fillId="68" borderId="66" xfId="0" applyNumberFormat="1" applyFill="1" applyBorder="1" applyAlignment="1">
      <alignment horizontal="center" vertical="center"/>
    </xf>
    <xf numFmtId="9" fontId="35" fillId="68" borderId="58" xfId="33743" applyFont="1" applyFill="1" applyBorder="1" applyAlignment="1">
      <alignment horizontal="center" vertical="center"/>
    </xf>
    <xf numFmtId="3" fontId="99" fillId="0" borderId="85" xfId="0" applyNumberFormat="1" applyFont="1" applyBorder="1"/>
    <xf numFmtId="3" fontId="0" fillId="68" borderId="113" xfId="0" applyNumberFormat="1" applyFill="1" applyBorder="1"/>
    <xf numFmtId="3" fontId="99" fillId="0" borderId="28" xfId="0" applyNumberFormat="1" applyFont="1" applyBorder="1"/>
    <xf numFmtId="178" fontId="96" fillId="68" borderId="32" xfId="33743" applyNumberFormat="1" applyFont="1" applyFill="1" applyBorder="1" applyAlignment="1">
      <alignment horizontal="center"/>
    </xf>
    <xf numFmtId="3" fontId="0" fillId="68" borderId="84" xfId="0" applyNumberFormat="1" applyFill="1" applyBorder="1" applyAlignment="1">
      <alignment horizontal="center" vertical="center"/>
    </xf>
    <xf numFmtId="9" fontId="35" fillId="68" borderId="22" xfId="33743" applyFont="1" applyFill="1" applyBorder="1" applyAlignment="1">
      <alignment horizontal="center" vertical="center"/>
    </xf>
    <xf numFmtId="9" fontId="96" fillId="0" borderId="32" xfId="33743" applyFont="1" applyBorder="1" applyAlignment="1">
      <alignment horizontal="center"/>
    </xf>
    <xf numFmtId="167" fontId="0" fillId="68" borderId="27" xfId="0" applyNumberFormat="1" applyFill="1" applyBorder="1" applyAlignment="1">
      <alignment vertical="center"/>
    </xf>
    <xf numFmtId="167" fontId="0" fillId="68" borderId="63" xfId="0" applyNumberFormat="1" applyFill="1" applyBorder="1" applyAlignment="1">
      <alignment vertical="center"/>
    </xf>
    <xf numFmtId="178" fontId="76" fillId="0" borderId="73" xfId="33743" applyNumberFormat="1" applyFont="1" applyBorder="1"/>
    <xf numFmtId="9" fontId="103" fillId="68" borderId="45" xfId="33743" applyFont="1" applyFill="1" applyBorder="1" applyAlignment="1">
      <alignment horizontal="center"/>
    </xf>
    <xf numFmtId="9" fontId="103" fillId="68" borderId="44" xfId="33743" applyFont="1" applyFill="1" applyBorder="1" applyAlignment="1">
      <alignment horizontal="center"/>
    </xf>
    <xf numFmtId="178" fontId="96" fillId="68" borderId="34" xfId="33743" applyNumberFormat="1" applyFont="1" applyFill="1" applyBorder="1" applyAlignment="1">
      <alignment horizontal="center" vertical="center"/>
    </xf>
    <xf numFmtId="167" fontId="0" fillId="68" borderId="30" xfId="0" applyNumberFormat="1" applyFill="1" applyBorder="1"/>
    <xf numFmtId="167" fontId="0" fillId="68" borderId="35" xfId="0" applyNumberFormat="1" applyFill="1" applyBorder="1"/>
    <xf numFmtId="9" fontId="96" fillId="68" borderId="32" xfId="33743" applyNumberFormat="1" applyFont="1" applyFill="1" applyBorder="1" applyAlignment="1">
      <alignment horizont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71" borderId="52" xfId="0" applyFill="1" applyBorder="1" applyAlignment="1">
      <alignment horizontal="center"/>
    </xf>
    <xf numFmtId="0" fontId="0" fillId="71" borderId="53" xfId="0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92" fillId="68" borderId="80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20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92" fillId="69" borderId="80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4" fillId="70" borderId="77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6" fillId="0" borderId="0" xfId="0" applyFont="1" applyAlignment="1">
      <alignment horizontal="center" wrapText="1"/>
    </xf>
    <xf numFmtId="3" fontId="98" fillId="0" borderId="0" xfId="0" applyNumberFormat="1" applyFont="1" applyAlignment="1">
      <alignment horizontal="center" vertical="center" wrapText="1"/>
    </xf>
    <xf numFmtId="3" fontId="98" fillId="0" borderId="0" xfId="0" applyNumberFormat="1" applyFont="1" applyAlignment="1">
      <alignment horizontal="center" vertical="center"/>
    </xf>
    <xf numFmtId="0" fontId="20" fillId="69" borderId="46" xfId="0" applyFont="1" applyFill="1" applyBorder="1" applyAlignment="1">
      <alignment horizontal="center" vertical="center"/>
    </xf>
    <xf numFmtId="0" fontId="20" fillId="69" borderId="47" xfId="0" applyFont="1" applyFill="1" applyBorder="1" applyAlignment="1">
      <alignment horizontal="center" vertical="center"/>
    </xf>
    <xf numFmtId="0" fontId="100" fillId="0" borderId="0" xfId="0" applyFont="1" applyAlignment="1">
      <alignment horizontal="center"/>
    </xf>
    <xf numFmtId="3" fontId="0" fillId="68" borderId="0" xfId="0" quotePrefix="1" applyNumberFormat="1" applyFill="1" applyAlignment="1">
      <alignment horizontal="center" vertical="center"/>
    </xf>
    <xf numFmtId="182" fontId="0" fillId="68" borderId="61" xfId="0" applyNumberFormat="1" applyFill="1" applyBorder="1" applyAlignment="1">
      <alignment vertical="center"/>
    </xf>
    <xf numFmtId="3" fontId="0" fillId="68" borderId="83" xfId="0" applyNumberFormat="1" applyFill="1" applyBorder="1" applyAlignment="1">
      <alignment vertical="center"/>
    </xf>
    <xf numFmtId="3" fontId="0" fillId="68" borderId="63" xfId="0" applyNumberFormat="1" applyFill="1" applyBorder="1" applyAlignment="1">
      <alignment vertical="center"/>
    </xf>
    <xf numFmtId="3" fontId="0" fillId="68" borderId="81" xfId="0" quotePrefix="1" applyNumberFormat="1" applyFill="1" applyBorder="1" applyAlignment="1">
      <alignment horizontal="center" vertical="center"/>
    </xf>
    <xf numFmtId="182" fontId="100" fillId="62" borderId="0" xfId="0" applyNumberFormat="1" applyFont="1" applyFill="1"/>
    <xf numFmtId="183" fontId="0" fillId="68" borderId="0" xfId="33744" applyNumberFormat="1" applyFont="1" applyFill="1" applyBorder="1"/>
    <xf numFmtId="9" fontId="76" fillId="0" borderId="73" xfId="33743" applyNumberFormat="1" applyFont="1" applyBorder="1"/>
    <xf numFmtId="4" fontId="99" fillId="0" borderId="86" xfId="0" applyNumberFormat="1" applyFont="1" applyBorder="1"/>
    <xf numFmtId="4" fontId="99" fillId="0" borderId="107" xfId="0" applyNumberFormat="1" applyFont="1" applyBorder="1"/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3056.0066850000003</c:v>
                </c:pt>
                <c:pt idx="1">
                  <c:v>1717.6874389801385</c:v>
                </c:pt>
                <c:pt idx="2">
                  <c:v>144.47388100000001</c:v>
                </c:pt>
                <c:pt idx="3">
                  <c:v>73.604771000000014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2156.8824528074992</c:v>
                </c:pt>
                <c:pt idx="1">
                  <c:v>2922.4236070674724</c:v>
                </c:pt>
                <c:pt idx="2">
                  <c:v>136.59295921250006</c:v>
                </c:pt>
                <c:pt idx="3">
                  <c:v>72.762869109999954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0797952"/>
        <c:axId val="240808320"/>
      </c:barChart>
      <c:catAx>
        <c:axId val="240797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0808320"/>
        <c:crosses val="autoZero"/>
        <c:auto val="1"/>
        <c:lblAlgn val="ctr"/>
        <c:lblOffset val="100"/>
        <c:noMultiLvlLbl val="0"/>
      </c:catAx>
      <c:valAx>
        <c:axId val="2408083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079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1711.7819284099994</c:v>
                </c:pt>
                <c:pt idx="2" formatCode="_ * #,##0.0_ ;_ * \-#,##0.0_ ;_ * &quot;-&quot;??_ ;_ @_ ">
                  <c:v>0.22087028249999979</c:v>
                </c:pt>
                <c:pt idx="3">
                  <c:v>2510.4608632375007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88.53855858999998</c:v>
                </c:pt>
                <c:pt idx="1">
                  <c:v>346.40148717</c:v>
                </c:pt>
                <c:pt idx="2">
                  <c:v>72.541998827499967</c:v>
                </c:pt>
                <c:pt idx="3">
                  <c:v>236.76049116000002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37.17466799999999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4222.4636619299999</c:v>
                </c:pt>
                <c:pt idx="1">
                  <c:v>744.24253574750003</c:v>
                </c:pt>
                <c:pt idx="2">
                  <c:v>284.78102153983298</c:v>
                </c:pt>
                <c:pt idx="3">
                  <c:v>37.17466799999999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2344320"/>
        <c:axId val="652430720"/>
      </c:barChart>
      <c:catAx>
        <c:axId val="65234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52430720"/>
        <c:crosses val="autoZero"/>
        <c:auto val="1"/>
        <c:lblAlgn val="ctr"/>
        <c:lblOffset val="100"/>
        <c:noMultiLvlLbl val="0"/>
      </c:catAx>
      <c:valAx>
        <c:axId val="65243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5234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ANCASH</c:v>
                </c:pt>
                <c:pt idx="5">
                  <c:v>MOQUEGUA</c:v>
                </c:pt>
                <c:pt idx="6">
                  <c:v>CUSCO</c:v>
                </c:pt>
                <c:pt idx="7">
                  <c:v>AREQUIPA</c:v>
                </c:pt>
                <c:pt idx="8">
                  <c:v>ICA</c:v>
                </c:pt>
                <c:pt idx="9">
                  <c:v>HUANUCO</c:v>
                </c:pt>
                <c:pt idx="10">
                  <c:v>PIURA</c:v>
                </c:pt>
                <c:pt idx="11">
                  <c:v>PUNO</c:v>
                </c:pt>
                <c:pt idx="12">
                  <c:v>CAJAMARCA</c:v>
                </c:pt>
                <c:pt idx="13">
                  <c:v>LA LIBERTAD</c:v>
                </c:pt>
                <c:pt idx="14">
                  <c:v>PASCO</c:v>
                </c:pt>
                <c:pt idx="15">
                  <c:v>UCAYALI</c:v>
                </c:pt>
                <c:pt idx="16">
                  <c:v>LORETO</c:v>
                </c:pt>
                <c:pt idx="17">
                  <c:v>TACNA</c:v>
                </c:pt>
                <c:pt idx="18">
                  <c:v>LAMBAYEQUE</c:v>
                </c:pt>
                <c:pt idx="19">
                  <c:v>AMAZONAS</c:v>
                </c:pt>
                <c:pt idx="20">
                  <c:v>SAN MARTÍN</c:v>
                </c:pt>
                <c:pt idx="21">
                  <c:v>APURIMAC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2627.8384339450008</c:v>
                </c:pt>
                <c:pt idx="1">
                  <c:v>608.63423792749973</c:v>
                </c:pt>
                <c:pt idx="2">
                  <c:v>332.86587615000019</c:v>
                </c:pt>
                <c:pt idx="3">
                  <c:v>224.78983627749989</c:v>
                </c:pt>
                <c:pt idx="4">
                  <c:v>198.64106209750017</c:v>
                </c:pt>
                <c:pt idx="5">
                  <c:v>196.82131211499996</c:v>
                </c:pt>
                <c:pt idx="6">
                  <c:v>169.88106067749996</c:v>
                </c:pt>
                <c:pt idx="7">
                  <c:v>139.17747613999995</c:v>
                </c:pt>
                <c:pt idx="8">
                  <c:v>129.9744808225</c:v>
                </c:pt>
                <c:pt idx="9">
                  <c:v>128.04027568999999</c:v>
                </c:pt>
                <c:pt idx="10">
                  <c:v>124.67980584500002</c:v>
                </c:pt>
                <c:pt idx="11">
                  <c:v>96.184650787500104</c:v>
                </c:pt>
                <c:pt idx="12">
                  <c:v>85.861877705000012</c:v>
                </c:pt>
                <c:pt idx="13">
                  <c:v>60.593246457332903</c:v>
                </c:pt>
                <c:pt idx="14">
                  <c:v>58.051454570000004</c:v>
                </c:pt>
                <c:pt idx="15">
                  <c:v>43.602485272499919</c:v>
                </c:pt>
                <c:pt idx="16">
                  <c:v>37.17466799999999</c:v>
                </c:pt>
                <c:pt idx="17">
                  <c:v>8.2053006600000025</c:v>
                </c:pt>
                <c:pt idx="18">
                  <c:v>5.5740325325000004</c:v>
                </c:pt>
                <c:pt idx="19">
                  <c:v>3.5265919999999999</c:v>
                </c:pt>
                <c:pt idx="20">
                  <c:v>3.4449190000000001</c:v>
                </c:pt>
                <c:pt idx="21">
                  <c:v>2.6481629999999994</c:v>
                </c:pt>
                <c:pt idx="22">
                  <c:v>1.1005480000000001</c:v>
                </c:pt>
                <c:pt idx="23">
                  <c:v>1.0052429999999999</c:v>
                </c:pt>
                <c:pt idx="24">
                  <c:v>0.34484854500000001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652570624"/>
        <c:axId val="652572160"/>
      </c:barChart>
      <c:catAx>
        <c:axId val="65257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652572160"/>
        <c:crosses val="autoZero"/>
        <c:auto val="1"/>
        <c:lblAlgn val="ctr"/>
        <c:lblOffset val="100"/>
        <c:noMultiLvlLbl val="0"/>
      </c:catAx>
      <c:valAx>
        <c:axId val="652572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65257062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174.14593898013928</c:v>
                </c:pt>
                <c:pt idx="1">
                  <c:v>154.64202298013927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4817.6268370000016</c:v>
                </c:pt>
                <c:pt idx="1">
                  <c:v>5134.0198652173322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0855680"/>
        <c:axId val="240873856"/>
        <c:axId val="652973824"/>
      </c:bar3DChart>
      <c:catAx>
        <c:axId val="24085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0873856"/>
        <c:crosses val="autoZero"/>
        <c:auto val="1"/>
        <c:lblAlgn val="ctr"/>
        <c:lblOffset val="100"/>
        <c:noMultiLvlLbl val="0"/>
      </c:catAx>
      <c:valAx>
        <c:axId val="2408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0855680"/>
        <c:crosses val="autoZero"/>
        <c:crossBetween val="between"/>
      </c:valAx>
      <c:serAx>
        <c:axId val="652973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0873856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1"/>
                <c:pt idx="0">
                  <c:v>No RER 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2817.4630897075003</c:v>
                </c:pt>
                <c:pt idx="1">
                  <c:v>1992.3168956449995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1"/>
                <c:pt idx="0">
                  <c:v>No RER 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1668.6790209801386</c:v>
                </c:pt>
                <c:pt idx="1">
                  <c:v>2867.7822510699721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1"/>
                <c:pt idx="0">
                  <c:v>RER 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238.54359529250016</c:v>
                </c:pt>
                <c:pt idx="1">
                  <c:v>164.56555716249963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1"/>
                <c:pt idx="0">
                  <c:v>RER 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267.08707000000004</c:v>
                </c:pt>
                <c:pt idx="1">
                  <c:v>263.99718432000003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50607232"/>
        <c:axId val="650707328"/>
        <c:axId val="0"/>
      </c:bar3DChart>
      <c:catAx>
        <c:axId val="65060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50707328"/>
        <c:crosses val="autoZero"/>
        <c:auto val="1"/>
        <c:lblAlgn val="ctr"/>
        <c:lblOffset val="100"/>
        <c:noMultiLvlLbl val="0"/>
      </c:catAx>
      <c:valAx>
        <c:axId val="65070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50607232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Gráfico N°1: Producción de Energía Eléctrica Nacional </a:t>
            </a:r>
          </a:p>
          <a:p>
            <a:pPr>
              <a:defRPr sz="900"/>
            </a:pPr>
            <a:r>
              <a:rPr lang="en-US" sz="900"/>
              <a:t>Diciembre 2022 </a:t>
            </a:r>
          </a:p>
          <a:p>
            <a:pPr>
              <a:defRPr sz="900"/>
            </a:pPr>
            <a:r>
              <a:rPr lang="en-US" sz="900"/>
              <a:t>Total: 5 289 GWh</a:t>
            </a:r>
          </a:p>
        </c:rich>
      </c:tx>
      <c:layout>
        <c:manualLayout>
          <c:xMode val="edge"/>
          <c:yMode val="edge"/>
          <c:x val="0.15244643486503895"/>
          <c:y val="3.7789858630221773E-2"/>
        </c:manualLayout>
      </c:layout>
      <c:overlay val="0"/>
      <c:spPr>
        <a:noFill/>
      </c:sp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'Resumen (G)'!$Q$13:$Q$15</c:f>
              <c:strCache>
                <c:ptCount val="1"/>
                <c:pt idx="0">
                  <c:v>Mcdo. Elect.</c:v>
                </c:pt>
              </c:strCache>
            </c:strRef>
          </c:tx>
          <c:explosion val="12"/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59-45F3-B6E1-FF010DFCCF1C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59-45F3-B6E1-FF010DFCCF1C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9525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59-45F3-B6E1-FF010DFCCF1C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459-45F3-B6E1-FF010DFCCF1C}"/>
              </c:ext>
            </c:extLst>
          </c:dPt>
          <c:dLbls>
            <c:dLbl>
              <c:idx val="0"/>
              <c:layout>
                <c:manualLayout>
                  <c:x val="-8.9715374929484684E-3"/>
                  <c:y val="0.1282997794017352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59-45F3-B6E1-FF010DFCCF1C}"/>
                </c:ext>
              </c:extLst>
            </c:dLbl>
            <c:dLbl>
              <c:idx val="1"/>
              <c:layout>
                <c:manualLayout>
                  <c:x val="1.6787618242250092E-2"/>
                  <c:y val="-0.155381804963710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59-45F3-B6E1-FF010DFCCF1C}"/>
                </c:ext>
              </c:extLst>
            </c:dLbl>
            <c:dLbl>
              <c:idx val="2"/>
              <c:layout>
                <c:manualLayout>
                  <c:x val="-2.2943955371932125E-3"/>
                  <c:y val="-4.01700613869547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59-45F3-B6E1-FF010DFCCF1C}"/>
                </c:ext>
              </c:extLst>
            </c:dLbl>
            <c:dLbl>
              <c:idx val="3"/>
              <c:layout>
                <c:manualLayout>
                  <c:x val="-6.2451209992193599E-3"/>
                  <c:y val="-4.728132387706855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59-45F3-B6E1-FF010DFCCF1C}"/>
                </c:ext>
              </c:extLst>
            </c:dLbl>
            <c:dLbl>
              <c:idx val="4"/>
              <c:layout>
                <c:manualLayout>
                  <c:x val="-9.3676814988290398E-3"/>
                  <c:y val="7.092198581560284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59-45F3-B6E1-FF010DFCCF1C}"/>
                </c:ext>
              </c:extLst>
            </c:dLbl>
            <c:dLbl>
              <c:idx val="5"/>
              <c:layout>
                <c:manualLayout>
                  <c:x val="-0.25775028458693372"/>
                  <c:y val="-9.6354882148870877E-2"/>
                </c:manualLayout>
              </c:layout>
              <c:tx>
                <c:rich>
                  <a:bodyPr/>
                  <a:lstStyle/>
                  <a:p>
                    <a:pPr>
                      <a:defRPr sz="800" b="1"/>
                    </a:pPr>
                    <a:r>
                      <a:rPr lang="en-US" sz="800" b="1"/>
                      <a:t>Mcdo. Elect.; </a:t>
                    </a:r>
                  </a:p>
                  <a:p>
                    <a:pPr>
                      <a:defRPr sz="800" b="1"/>
                    </a:pPr>
                    <a:r>
                      <a:rPr lang="en-US" sz="800" b="1"/>
                      <a:t>4 837; 97%</a:t>
                    </a:r>
                  </a:p>
                </c:rich>
              </c:tx>
              <c:spPr/>
              <c:dLblPos val="bestFit"/>
              <c:showLegendKey val="0"/>
              <c:showVal val="1"/>
              <c:showCatName val="0"/>
              <c:showSerName val="1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459-45F3-B6E1-FF010DFCCF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42.549464</c:v>
                </c:pt>
                <c:pt idx="1">
                  <c:v>111.47124518747214</c:v>
                </c:pt>
                <c:pt idx="2">
                  <c:v>2114.3329888074991</c:v>
                </c:pt>
                <c:pt idx="3">
                  <c:v>2810.9523618800004</c:v>
                </c:pt>
                <c:pt idx="4">
                  <c:v>209.35582832250003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459-45F3-B6E1-FF010DFCCF1C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gap"/>
    <c:showDLblsOverMax val="0"/>
  </c:chart>
  <c:spPr>
    <a:solidFill>
      <a:schemeClr val="bg1"/>
    </a:solidFill>
    <a:ln>
      <a:gradFill>
        <a:gsLst>
          <a:gs pos="0">
            <a:schemeClr val="bg1">
              <a:lumMod val="75000"/>
            </a:schemeClr>
          </a:gs>
          <a:gs pos="12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(G)'!$C$57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(G)'!$D$57:$E$57</c:f>
              <c:numCache>
                <c:formatCode>#,##0</c:formatCode>
                <c:ptCount val="2"/>
                <c:pt idx="0">
                  <c:v>4724.6857059801405</c:v>
                </c:pt>
                <c:pt idx="1">
                  <c:v>5024.6895336974721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(G)'!$C$58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42294387537E-2"/>
                  <c:y val="-2.1662532664487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(G)'!$D$58:$E$58</c:f>
              <c:numCache>
                <c:formatCode>#,##0</c:formatCode>
                <c:ptCount val="2"/>
                <c:pt idx="0">
                  <c:v>267.08707000000004</c:v>
                </c:pt>
                <c:pt idx="1">
                  <c:v>263.99718432000003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651836032"/>
        <c:axId val="651866496"/>
      </c:barChart>
      <c:lineChart>
        <c:grouping val="standard"/>
        <c:varyColors val="0"/>
        <c:ser>
          <c:idx val="2"/>
          <c:order val="2"/>
          <c:tx>
            <c:strRef>
              <c:f>'TipoRecurso (G)'!$C$60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845689361297858E-2"/>
                  <c:y val="6.118774781999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31-4D36-826D-DF2586D4A949}"/>
                </c:ext>
              </c:extLst>
            </c:dLbl>
            <c:dLbl>
              <c:idx val="1"/>
              <c:layout>
                <c:manualLayout>
                  <c:x val="-4.1335202664565418E-2"/>
                  <c:y val="-5.7196889135137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(G)'!$D$60:$E$60</c:f>
              <c:numCache>
                <c:formatCode>0.0%</c:formatCode>
                <c:ptCount val="2"/>
                <c:pt idx="0">
                  <c:v>5.3505454271715561E-2</c:v>
                </c:pt>
                <c:pt idx="1">
                  <c:v>4.9917342129685183E-2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78400"/>
        <c:axId val="651868416"/>
      </c:lineChart>
      <c:catAx>
        <c:axId val="65183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51866496"/>
        <c:crosses val="autoZero"/>
        <c:auto val="1"/>
        <c:lblAlgn val="ctr"/>
        <c:lblOffset val="100"/>
        <c:noMultiLvlLbl val="1"/>
      </c:catAx>
      <c:valAx>
        <c:axId val="6518664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51836032"/>
        <c:crosses val="autoZero"/>
        <c:crossBetween val="between"/>
        <c:majorUnit val="1000"/>
      </c:valAx>
      <c:valAx>
        <c:axId val="651868416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51878400"/>
        <c:crosses val="max"/>
        <c:crossBetween val="between"/>
      </c:valAx>
      <c:catAx>
        <c:axId val="651878400"/>
        <c:scaling>
          <c:orientation val="minMax"/>
        </c:scaling>
        <c:delete val="1"/>
        <c:axPos val="b"/>
        <c:majorTickMark val="out"/>
        <c:minorTickMark val="none"/>
        <c:tickLblPos val="nextTo"/>
        <c:crossAx val="651868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4.5219125990374726E-2"/>
                  <c:y val="-0.10740094435375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239317504622913"/>
                  <c:y val="0.210298493651170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2438337467573948"/>
                  <c:y val="-0.17468732211686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 i="0" u="none" strike="noStrike" baseline="0">
                        <a:effectLst/>
                      </a:rPr>
                      <a:t>RER No Convencional</a:t>
                    </a:r>
                    <a:r>
                      <a:rPr lang="en-US" sz="700" b="1"/>
                      <a:t>
5%</a:t>
                    </a:r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(G)'!$N$28:$N$35</c:f>
              <c:numCache>
                <c:formatCode>#,##0</c:formatCode>
                <c:ptCount val="8"/>
                <c:pt idx="0">
                  <c:v>3056.0066850000003</c:v>
                </c:pt>
                <c:pt idx="1">
                  <c:v>1584.9386779999998</c:v>
                </c:pt>
                <c:pt idx="2">
                  <c:v>82.818782980140895</c:v>
                </c:pt>
                <c:pt idx="4" formatCode="#,##0.00">
                  <c:v>0.92155999999999993</c:v>
                </c:pt>
                <c:pt idx="5">
                  <c:v>49.008418000000006</c:v>
                </c:pt>
                <c:pt idx="6">
                  <c:v>144.47388100000001</c:v>
                </c:pt>
                <c:pt idx="7">
                  <c:v>73.604771000000014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3.3952764182478223E-2"/>
                  <c:y val="-0.10838367701663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4.7784451713007749E-2"/>
                  <c:y val="0.302348884368471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8.5977877041062648E-2"/>
                  <c:y val="-7.1832935166740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 Convencional
5%</a:t>
                    </a:r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(G)'!$O$28:$O$35</c:f>
              <c:numCache>
                <c:formatCode>#,##0</c:formatCode>
                <c:ptCount val="8"/>
                <c:pt idx="0">
                  <c:v>2156.8824528074992</c:v>
                </c:pt>
                <c:pt idx="1">
                  <c:v>2611.3619059399998</c:v>
                </c:pt>
                <c:pt idx="2">
                  <c:v>255.35522312997273</c:v>
                </c:pt>
                <c:pt idx="4" formatCode="#,##0.00">
                  <c:v>1.0651220000000001</c:v>
                </c:pt>
                <c:pt idx="5">
                  <c:v>54.6413559975</c:v>
                </c:pt>
                <c:pt idx="6">
                  <c:v>136.59295921250006</c:v>
                </c:pt>
                <c:pt idx="7">
                  <c:v>72.762869109999954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-2.0034010493404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35-4112-AD0F-45AA74253D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(G)'!$M$9:$M$16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Flexigas</c:v>
                </c:pt>
                <c:pt idx="3">
                  <c:v>Diesel/Residual/Carbón</c:v>
                </c:pt>
                <c:pt idx="4">
                  <c:v>Bagazo / Biogás</c:v>
                </c:pt>
                <c:pt idx="5">
                  <c:v>Eólica</c:v>
                </c:pt>
                <c:pt idx="6">
                  <c:v>Solar</c:v>
                </c:pt>
                <c:pt idx="7">
                  <c:v>Vapor (Cogeneracion)</c:v>
                </c:pt>
              </c:strCache>
            </c:strRef>
          </c:cat>
          <c:val>
            <c:numRef>
              <c:f>'TipoRecurso (G)'!$N$9:$N$16</c:f>
              <c:numCache>
                <c:formatCode>#,##0</c:formatCode>
                <c:ptCount val="8"/>
                <c:pt idx="0">
                  <c:v>2156.8824528074992</c:v>
                </c:pt>
                <c:pt idx="1">
                  <c:v>2611.3619059399998</c:v>
                </c:pt>
                <c:pt idx="2" formatCode="#,##0.000">
                  <c:v>2.4829819999999999E-2</c:v>
                </c:pt>
                <c:pt idx="3">
                  <c:v>255.35522312997273</c:v>
                </c:pt>
                <c:pt idx="4">
                  <c:v>54.6413559975</c:v>
                </c:pt>
                <c:pt idx="5">
                  <c:v>136.59295921250006</c:v>
                </c:pt>
                <c:pt idx="6">
                  <c:v>72.762869109999954</c:v>
                </c:pt>
                <c:pt idx="7">
                  <c:v>1.0651220000000001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1723136"/>
        <c:axId val="651725824"/>
      </c:barChart>
      <c:catAx>
        <c:axId val="65172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51725824"/>
        <c:crosses val="autoZero"/>
        <c:auto val="1"/>
        <c:lblAlgn val="ctr"/>
        <c:lblOffset val="100"/>
        <c:noMultiLvlLbl val="0"/>
      </c:catAx>
      <c:valAx>
        <c:axId val="65172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5172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48.05440062250004</c:v>
                </c:pt>
                <c:pt idx="1">
                  <c:v>98.6990372275</c:v>
                </c:pt>
                <c:pt idx="2">
                  <c:v>0</c:v>
                </c:pt>
                <c:pt idx="3">
                  <c:v>138.02758368983291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chart" Target="../charts/chart7.xml"/><Relationship Id="rId7" Type="http://schemas.openxmlformats.org/officeDocument/2006/relationships/image" Target="../media/image3.jpeg"/><Relationship Id="rId12" Type="http://schemas.openxmlformats.org/officeDocument/2006/relationships/image" Target="../media/image8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2.jpeg"/><Relationship Id="rId11" Type="http://schemas.openxmlformats.org/officeDocument/2006/relationships/image" Target="../media/image7.jpeg"/><Relationship Id="rId5" Type="http://schemas.openxmlformats.org/officeDocument/2006/relationships/image" Target="../media/image1.png"/><Relationship Id="rId10" Type="http://schemas.openxmlformats.org/officeDocument/2006/relationships/image" Target="../media/image6.png"/><Relationship Id="rId4" Type="http://schemas.openxmlformats.org/officeDocument/2006/relationships/chart" Target="../charts/chart8.xml"/><Relationship Id="rId9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9.png"/><Relationship Id="rId6" Type="http://schemas.openxmlformats.org/officeDocument/2006/relationships/image" Target="../media/image10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409575</xdr:colOff>
      <xdr:row>5</xdr:row>
      <xdr:rowOff>9525</xdr:rowOff>
    </xdr:from>
    <xdr:to>
      <xdr:col>14</xdr:col>
      <xdr:colOff>66674</xdr:colOff>
      <xdr:row>18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76200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678731" y="771525"/>
          <a:ext cx="6294862" cy="374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diciembre 2022</a:t>
          </a:r>
        </a:p>
      </xdr:txBody>
    </xdr:sp>
    <xdr:clientData/>
  </xdr:twoCellAnchor>
  <xdr:twoCellAnchor>
    <xdr:from>
      <xdr:col>1</xdr:col>
      <xdr:colOff>305258</xdr:colOff>
      <xdr:row>61</xdr:row>
      <xdr:rowOff>0</xdr:rowOff>
    </xdr:from>
    <xdr:to>
      <xdr:col>7</xdr:col>
      <xdr:colOff>577454</xdr:colOff>
      <xdr:row>65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2022 vs 2021</a:t>
          </a:r>
          <a:endParaRPr lang="es-PE" sz="900" b="1"/>
        </a:p>
      </xdr:txBody>
    </xdr:sp>
    <xdr:clientData/>
  </xdr:twoCellAnchor>
  <xdr:twoCellAnchor>
    <xdr:from>
      <xdr:col>2</xdr:col>
      <xdr:colOff>44450</xdr:colOff>
      <xdr:row>63</xdr:row>
      <xdr:rowOff>23814</xdr:rowOff>
    </xdr:from>
    <xdr:to>
      <xdr:col>8</xdr:col>
      <xdr:colOff>174624</xdr:colOff>
      <xdr:row>71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351233</xdr:colOff>
      <xdr:row>37</xdr:row>
      <xdr:rowOff>69055</xdr:rowOff>
    </xdr:from>
    <xdr:to>
      <xdr:col>5</xdr:col>
      <xdr:colOff>11904</xdr:colOff>
      <xdr:row>48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86590</xdr:colOff>
      <xdr:row>37</xdr:row>
      <xdr:rowOff>80962</xdr:rowOff>
    </xdr:from>
    <xdr:to>
      <xdr:col>9</xdr:col>
      <xdr:colOff>432954</xdr:colOff>
      <xdr:row>48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206656</xdr:colOff>
      <xdr:row>5</xdr:row>
      <xdr:rowOff>107577</xdr:rowOff>
    </xdr:from>
    <xdr:to>
      <xdr:col>10</xdr:col>
      <xdr:colOff>192088</xdr:colOff>
      <xdr:row>20</xdr:row>
      <xdr:rowOff>83214</xdr:rowOff>
    </xdr:to>
    <xdr:grpSp>
      <xdr:nvGrpSpPr>
        <xdr:cNvPr id="16" name="15 Grupo"/>
        <xdr:cNvGrpSpPr/>
      </xdr:nvGrpSpPr>
      <xdr:grpSpPr>
        <a:xfrm>
          <a:off x="936906" y="956890"/>
          <a:ext cx="6692620" cy="2444199"/>
          <a:chOff x="936906" y="956890"/>
          <a:chExt cx="6692620" cy="2444199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GraphicFramePr/>
        </xdr:nvGraphicFramePr>
        <xdr:xfrm>
          <a:off x="936906" y="956890"/>
          <a:ext cx="6692620" cy="19964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xmlns="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13053" y="2956575"/>
            <a:ext cx="225426" cy="3046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33161" y="2974758"/>
            <a:ext cx="166926" cy="2987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7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937131" y="2989004"/>
            <a:ext cx="271186" cy="2960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8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6990853" y="2970872"/>
            <a:ext cx="239457" cy="29248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463" y="2908597"/>
            <a:ext cx="361435" cy="3866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0326" y="2856074"/>
            <a:ext cx="487894" cy="5450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xmlns="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55197" y="2932976"/>
            <a:ext cx="384917" cy="424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14 Imagen"/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3246438" y="3000375"/>
            <a:ext cx="310923" cy="30482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pSpPr/>
      </xdr:nvGrpSpPr>
      <xdr:grpSpPr>
        <a:xfrm>
          <a:off x="644314" y="3258488"/>
          <a:ext cx="4025694" cy="5407325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xmlns="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xmlns="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xmlns="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xmlns="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xmlns="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xmlns="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3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tabSelected="1" view="pageBreakPreview" zoomScale="120" zoomScaleNormal="100" zoomScaleSheetLayoutView="120" workbookViewId="0">
      <selection activeCell="N51" sqref="N51"/>
    </sheetView>
  </sheetViews>
  <sheetFormatPr baseColWidth="10" defaultColWidth="11.42578125" defaultRowHeight="12.75"/>
  <cols>
    <col min="1" max="1" width="5.28515625" customWidth="1"/>
    <col min="2" max="2" width="2.42578125" customWidth="1"/>
    <col min="3" max="3" width="12.7109375" customWidth="1"/>
    <col min="4" max="4" width="12" customWidth="1"/>
    <col min="5" max="6" width="9.7109375" customWidth="1"/>
    <col min="7" max="7" width="7.28515625" customWidth="1"/>
    <col min="8" max="9" width="11.7109375" customWidth="1"/>
    <col min="10" max="10" width="5.7109375" customWidth="1"/>
    <col min="11" max="11" width="7.5703125" customWidth="1"/>
    <col min="12" max="12" width="11.140625" customWidth="1"/>
    <col min="17" max="17" width="14.5703125" customWidth="1"/>
    <col min="18" max="18" width="12.42578125" customWidth="1"/>
  </cols>
  <sheetData>
    <row r="2" spans="2:19" ht="15">
      <c r="B2" s="1" t="s">
        <v>126</v>
      </c>
      <c r="C2" s="2"/>
      <c r="D2" s="1"/>
      <c r="E2" s="1"/>
      <c r="F2" s="1"/>
      <c r="G2" s="1"/>
      <c r="H2" s="1"/>
      <c r="I2" s="1"/>
      <c r="J2" s="1"/>
      <c r="K2" s="1"/>
    </row>
    <row r="3" spans="2:19" ht="12.75" customHeight="1">
      <c r="B3" s="1"/>
      <c r="C3" s="2"/>
      <c r="D3" s="1"/>
      <c r="E3" s="1"/>
      <c r="F3" s="1"/>
      <c r="G3" s="1"/>
      <c r="H3" s="1"/>
      <c r="I3" s="1"/>
      <c r="J3" s="1"/>
      <c r="K3" s="1"/>
    </row>
    <row r="4" spans="2:19" ht="15">
      <c r="B4" s="1" t="s">
        <v>82</v>
      </c>
      <c r="C4" s="2"/>
      <c r="D4" s="1"/>
      <c r="E4" s="1"/>
      <c r="F4" s="1"/>
      <c r="G4" s="1"/>
      <c r="H4" s="1"/>
      <c r="I4" s="1"/>
      <c r="J4" s="1"/>
      <c r="K4" s="1"/>
    </row>
    <row r="5" spans="2:19" ht="14.25">
      <c r="B5" s="2"/>
      <c r="C5" s="3"/>
      <c r="D5" s="4"/>
      <c r="E5" s="4"/>
      <c r="F5" s="4"/>
      <c r="G5" s="4"/>
      <c r="H5" s="4"/>
      <c r="I5" s="4"/>
      <c r="J5" s="4"/>
      <c r="K5" s="4"/>
    </row>
    <row r="6" spans="2:19">
      <c r="C6" s="5" t="s">
        <v>113</v>
      </c>
    </row>
    <row r="8" spans="2:19">
      <c r="C8" s="69"/>
      <c r="D8" s="69"/>
      <c r="E8" s="69"/>
      <c r="F8" s="69"/>
      <c r="G8" s="69"/>
    </row>
    <row r="9" spans="2:19" ht="25.5">
      <c r="C9" s="150" t="s">
        <v>62</v>
      </c>
      <c r="D9" s="151" t="s">
        <v>69</v>
      </c>
      <c r="E9" s="152" t="s">
        <v>70</v>
      </c>
      <c r="F9" s="153" t="s">
        <v>71</v>
      </c>
      <c r="G9" s="154" t="s">
        <v>72</v>
      </c>
    </row>
    <row r="10" spans="2:19" ht="13.5" thickBot="1">
      <c r="C10" s="155" t="s">
        <v>63</v>
      </c>
      <c r="D10" s="156"/>
      <c r="E10" s="157"/>
      <c r="F10" s="158"/>
      <c r="G10" s="159"/>
    </row>
    <row r="11" spans="2:19" ht="13.5" thickTop="1">
      <c r="C11" s="69"/>
      <c r="D11" s="106"/>
      <c r="E11" s="107"/>
      <c r="F11" s="108"/>
      <c r="G11" s="109"/>
      <c r="Q11" s="327" t="s">
        <v>64</v>
      </c>
      <c r="R11" s="41" t="s">
        <v>41</v>
      </c>
      <c r="S11" s="54">
        <f>E12</f>
        <v>42.549464</v>
      </c>
    </row>
    <row r="12" spans="2:19">
      <c r="C12" s="110" t="s">
        <v>66</v>
      </c>
      <c r="D12" s="111">
        <v>2114.3329888074991</v>
      </c>
      <c r="E12" s="112">
        <v>42.549464</v>
      </c>
      <c r="F12" s="113">
        <f>SUM(D12:E12)</f>
        <v>2156.8824528074992</v>
      </c>
      <c r="G12" s="313">
        <f>(F12/F$16)-0.001</f>
        <v>0.40683141339039675</v>
      </c>
      <c r="Q12" s="327"/>
      <c r="R12" s="41" t="s">
        <v>73</v>
      </c>
      <c r="S12" s="54">
        <f>E13</f>
        <v>111.47124518747214</v>
      </c>
    </row>
    <row r="13" spans="2:19">
      <c r="C13" s="110" t="s">
        <v>65</v>
      </c>
      <c r="D13" s="111">
        <v>2810.9523618800004</v>
      </c>
      <c r="E13" s="112">
        <v>111.47124518747214</v>
      </c>
      <c r="F13" s="113">
        <f>SUM(D13:E13)</f>
        <v>2922.4236070674724</v>
      </c>
      <c r="G13" s="313">
        <f>(F13/F$16)</f>
        <v>0.55258280238888902</v>
      </c>
      <c r="Q13" s="327" t="s">
        <v>88</v>
      </c>
      <c r="R13" s="41" t="s">
        <v>41</v>
      </c>
      <c r="S13" s="54">
        <f>D12</f>
        <v>2114.3329888074991</v>
      </c>
    </row>
    <row r="14" spans="2:19">
      <c r="C14" s="110" t="s">
        <v>67</v>
      </c>
      <c r="D14" s="111">
        <v>136.59295921250006</v>
      </c>
      <c r="E14" s="114"/>
      <c r="F14" s="113">
        <f>SUM(D14:E14)</f>
        <v>136.59295921250006</v>
      </c>
      <c r="G14" s="313">
        <f>(F14/F$16)</f>
        <v>2.5827508375479619E-2</v>
      </c>
      <c r="Q14" s="327"/>
      <c r="R14" s="41" t="s">
        <v>73</v>
      </c>
      <c r="S14" s="54">
        <f>D13</f>
        <v>2810.9523618800004</v>
      </c>
    </row>
    <row r="15" spans="2:19" ht="13.5" thickBot="1">
      <c r="C15" s="115" t="s">
        <v>5</v>
      </c>
      <c r="D15" s="116">
        <v>72.762869109999954</v>
      </c>
      <c r="E15" s="117"/>
      <c r="F15" s="118">
        <f>SUM(D15:E15)</f>
        <v>72.762869109999954</v>
      </c>
      <c r="G15" s="314">
        <f>(F15/F$16)</f>
        <v>1.3758275845234575E-2</v>
      </c>
      <c r="Q15" s="327"/>
      <c r="R15" s="41" t="s">
        <v>87</v>
      </c>
      <c r="S15" s="54">
        <f>SUM(D14:D15)</f>
        <v>209.35582832250003</v>
      </c>
    </row>
    <row r="16" spans="2:19" ht="13.5" thickTop="1">
      <c r="C16" s="211" t="s">
        <v>71</v>
      </c>
      <c r="D16" s="212">
        <f>SUM(D12:D15)</f>
        <v>5134.6411790100001</v>
      </c>
      <c r="E16" s="213">
        <f>SUM(E12:E15)</f>
        <v>154.02070918747214</v>
      </c>
      <c r="F16" s="214">
        <f>SUM(F12:F15)</f>
        <v>5288.6618881974719</v>
      </c>
      <c r="G16" s="215"/>
    </row>
    <row r="17" spans="3:19">
      <c r="C17" s="216" t="s">
        <v>109</v>
      </c>
      <c r="D17" s="271">
        <f>D16/F16</f>
        <v>0.97087718737868367</v>
      </c>
      <c r="E17" s="272">
        <f>E16/F16</f>
        <v>2.9122812621316357E-2</v>
      </c>
      <c r="F17" s="217"/>
      <c r="G17" s="218"/>
    </row>
    <row r="18" spans="3:19">
      <c r="C18" s="69"/>
      <c r="D18" s="69"/>
      <c r="E18" s="69"/>
      <c r="F18" s="69"/>
      <c r="G18" s="69"/>
    </row>
    <row r="20" spans="3:19">
      <c r="C20" s="5" t="s">
        <v>118</v>
      </c>
    </row>
    <row r="21" spans="3:19">
      <c r="C21" s="5"/>
    </row>
    <row r="22" spans="3:19" ht="13.5" thickBot="1">
      <c r="C22" s="69"/>
      <c r="D22" s="69"/>
      <c r="E22" s="69"/>
      <c r="F22" s="69"/>
      <c r="G22" s="69"/>
      <c r="H22" s="69"/>
      <c r="I22" s="69"/>
      <c r="J22" s="69"/>
    </row>
    <row r="23" spans="3:19" ht="12.75" customHeight="1">
      <c r="C23" s="323" t="s">
        <v>112</v>
      </c>
      <c r="D23" s="324"/>
      <c r="E23" s="328" t="s">
        <v>127</v>
      </c>
      <c r="F23" s="329"/>
      <c r="G23" s="122" t="s">
        <v>74</v>
      </c>
      <c r="H23" s="330" t="s">
        <v>128</v>
      </c>
      <c r="I23" s="331"/>
      <c r="J23" s="122" t="s">
        <v>74</v>
      </c>
      <c r="Q23" s="41"/>
      <c r="R23" s="41">
        <v>2021</v>
      </c>
      <c r="S23" s="41">
        <v>2022</v>
      </c>
    </row>
    <row r="24" spans="3:19" ht="12.75" customHeight="1">
      <c r="C24" s="123"/>
      <c r="D24" s="124"/>
      <c r="E24" s="125">
        <v>2021</v>
      </c>
      <c r="F24" s="126">
        <v>2022</v>
      </c>
      <c r="G24" s="127"/>
      <c r="H24" s="201">
        <v>2021</v>
      </c>
      <c r="I24" s="126">
        <v>2022</v>
      </c>
      <c r="J24" s="127"/>
      <c r="Q24" s="41" t="s">
        <v>76</v>
      </c>
      <c r="R24" s="54">
        <f>E29</f>
        <v>174.14593898013928</v>
      </c>
      <c r="S24" s="54">
        <f>F29</f>
        <v>154.64202298013927</v>
      </c>
    </row>
    <row r="25" spans="3:19">
      <c r="C25" s="319" t="s">
        <v>0</v>
      </c>
      <c r="D25" s="320"/>
      <c r="E25" s="160">
        <f>SUM(E26:E28)</f>
        <v>4817.6268370000016</v>
      </c>
      <c r="F25" s="161">
        <f>SUM(F26:F28)</f>
        <v>5134.0198652173322</v>
      </c>
      <c r="G25" s="162">
        <f>((F25/E25)-1)</f>
        <v>6.5674042204221905E-2</v>
      </c>
      <c r="H25" s="202">
        <f>SUM(H26:H28)</f>
        <v>55538.784548000003</v>
      </c>
      <c r="I25" s="161">
        <f>SUM(I26:I28)</f>
        <v>57804.181914340734</v>
      </c>
      <c r="J25" s="162">
        <f>((I25/H25)-1)</f>
        <v>4.0789466042110423E-2</v>
      </c>
      <c r="Q25" s="41" t="s">
        <v>0</v>
      </c>
      <c r="R25" s="54">
        <f>E25</f>
        <v>4817.6268370000016</v>
      </c>
      <c r="S25" s="54">
        <f>F25</f>
        <v>5134.0198652173322</v>
      </c>
    </row>
    <row r="26" spans="3:19">
      <c r="C26" s="229" t="s">
        <v>62</v>
      </c>
      <c r="D26" s="238" t="s">
        <v>102</v>
      </c>
      <c r="E26" s="113">
        <v>4682.7548540000016</v>
      </c>
      <c r="F26" s="129">
        <v>5012.8147140099991</v>
      </c>
      <c r="G26" s="130">
        <f t="shared" ref="G26:G32" si="0">((F26/E26)-1)</f>
        <v>7.0484121057087012E-2</v>
      </c>
      <c r="H26" s="203">
        <v>54017.774247000001</v>
      </c>
      <c r="I26" s="129">
        <v>56084.046254515</v>
      </c>
      <c r="J26" s="130">
        <f t="shared" ref="J26:J32" si="1">((I26/H26)-1)</f>
        <v>3.8251705782375023E-2</v>
      </c>
    </row>
    <row r="27" spans="3:19">
      <c r="C27" s="230" t="s">
        <v>106</v>
      </c>
      <c r="D27" s="239" t="s">
        <v>77</v>
      </c>
      <c r="E27" s="232">
        <v>91.947598999999997</v>
      </c>
      <c r="F27" s="233">
        <v>78.079772000000006</v>
      </c>
      <c r="G27" s="241">
        <f t="shared" si="0"/>
        <v>-0.15082315526259682</v>
      </c>
      <c r="H27" s="234">
        <v>1034.014402</v>
      </c>
      <c r="I27" s="233">
        <v>1213.409946963963</v>
      </c>
      <c r="J27" s="241">
        <f t="shared" si="1"/>
        <v>0.17349424206952491</v>
      </c>
    </row>
    <row r="28" spans="3:19">
      <c r="C28" s="231" t="s">
        <v>64</v>
      </c>
      <c r="D28" s="240" t="s">
        <v>77</v>
      </c>
      <c r="E28" s="316">
        <v>42.924384000000011</v>
      </c>
      <c r="F28" s="317">
        <v>43.125379207332863</v>
      </c>
      <c r="G28" s="306">
        <f t="shared" si="0"/>
        <v>4.6825414508651075E-3</v>
      </c>
      <c r="H28" s="203">
        <v>486.99589899999995</v>
      </c>
      <c r="I28" s="129">
        <v>506.72571286177009</v>
      </c>
      <c r="J28" s="130">
        <f t="shared" si="1"/>
        <v>4.0513305968866264E-2</v>
      </c>
    </row>
    <row r="29" spans="3:19">
      <c r="C29" s="319" t="s">
        <v>76</v>
      </c>
      <c r="D29" s="320"/>
      <c r="E29" s="160">
        <f>SUM(E30:E31)</f>
        <v>174.14593898013928</v>
      </c>
      <c r="F29" s="161">
        <f>SUM(F30:F31)</f>
        <v>154.64202298013927</v>
      </c>
      <c r="G29" s="162">
        <f t="shared" si="0"/>
        <v>-0.11199753559699344</v>
      </c>
      <c r="H29" s="202">
        <f>SUM(H30:H31)</f>
        <v>1858.2312557616706</v>
      </c>
      <c r="I29" s="161">
        <f>SUM(I30:I31)</f>
        <v>1832.9807300496582</v>
      </c>
      <c r="J29" s="162">
        <f t="shared" si="1"/>
        <v>-1.3588473250420341E-2</v>
      </c>
      <c r="Q29" s="41"/>
      <c r="R29" s="41"/>
      <c r="S29" s="41"/>
    </row>
    <row r="30" spans="3:19">
      <c r="C30" s="235" t="s">
        <v>68</v>
      </c>
      <c r="D30" s="124"/>
      <c r="E30" s="113">
        <v>43.283755000000014</v>
      </c>
      <c r="F30" s="129">
        <v>43.746693</v>
      </c>
      <c r="G30" s="318">
        <f t="shared" si="0"/>
        <v>1.0695421411566208E-2</v>
      </c>
      <c r="H30" s="203">
        <v>485.96722899999997</v>
      </c>
      <c r="I30" s="129">
        <v>500.31438246466303</v>
      </c>
      <c r="J30" s="130">
        <f t="shared" si="1"/>
        <v>2.9522882631789704E-2</v>
      </c>
    </row>
    <row r="31" spans="3:19" ht="13.5" thickBot="1">
      <c r="C31" s="236" t="s">
        <v>64</v>
      </c>
      <c r="D31" s="237"/>
      <c r="E31" s="118">
        <v>130.86218398013926</v>
      </c>
      <c r="F31" s="132">
        <v>110.89532998013928</v>
      </c>
      <c r="G31" s="133">
        <f t="shared" si="0"/>
        <v>-0.15257925087839219</v>
      </c>
      <c r="H31" s="204">
        <v>1372.2640267616707</v>
      </c>
      <c r="I31" s="132">
        <v>1332.666347584995</v>
      </c>
      <c r="J31" s="133">
        <f t="shared" si="1"/>
        <v>-2.8855729221526016E-2</v>
      </c>
    </row>
    <row r="32" spans="3:19" ht="14.25" thickTop="1" thickBot="1">
      <c r="C32" s="321" t="s">
        <v>108</v>
      </c>
      <c r="D32" s="322"/>
      <c r="E32" s="163">
        <f>SUM(E25,E29)</f>
        <v>4991.772775980141</v>
      </c>
      <c r="F32" s="164">
        <f>SUM(F25,F29)</f>
        <v>5288.6618881974719</v>
      </c>
      <c r="G32" s="165">
        <f t="shared" si="0"/>
        <v>5.947568640262002E-2</v>
      </c>
      <c r="H32" s="205">
        <f>SUM(H25,H29)</f>
        <v>57397.015803761671</v>
      </c>
      <c r="I32" s="164">
        <f>SUM(I25,I29)</f>
        <v>59637.162644390395</v>
      </c>
      <c r="J32" s="165">
        <f t="shared" si="1"/>
        <v>3.9028977539315113E-2</v>
      </c>
    </row>
    <row r="33" spans="3:19">
      <c r="C33" s="266" t="s">
        <v>103</v>
      </c>
      <c r="D33" s="134"/>
      <c r="E33" s="134"/>
      <c r="F33" s="135"/>
      <c r="G33" s="69"/>
      <c r="H33" s="134"/>
      <c r="I33" s="134"/>
      <c r="J33" s="69"/>
    </row>
    <row r="34" spans="3:19">
      <c r="C34" s="72"/>
      <c r="D34" s="36"/>
      <c r="E34" s="36"/>
      <c r="F34" s="73"/>
    </row>
    <row r="35" spans="3:19">
      <c r="C35" s="5" t="s">
        <v>120</v>
      </c>
    </row>
    <row r="36" spans="3:19">
      <c r="C36" s="5"/>
    </row>
    <row r="37" spans="3:19" ht="13.5" thickBot="1">
      <c r="C37" s="5"/>
    </row>
    <row r="38" spans="3:19" ht="12.75" customHeight="1">
      <c r="C38" s="120"/>
      <c r="D38" s="121"/>
      <c r="E38" s="328" t="s">
        <v>127</v>
      </c>
      <c r="F38" s="329"/>
      <c r="G38" s="325" t="s">
        <v>74</v>
      </c>
      <c r="H38" s="330" t="s">
        <v>128</v>
      </c>
      <c r="I38" s="331"/>
      <c r="J38" s="325" t="s">
        <v>74</v>
      </c>
      <c r="Q38" s="41"/>
      <c r="R38" s="41">
        <v>2021</v>
      </c>
      <c r="S38" s="41">
        <v>2022</v>
      </c>
    </row>
    <row r="39" spans="3:19" ht="12.75" customHeight="1">
      <c r="C39" s="123" t="s">
        <v>75</v>
      </c>
      <c r="D39" s="124"/>
      <c r="E39" s="125">
        <v>2021</v>
      </c>
      <c r="F39" s="126">
        <v>2022</v>
      </c>
      <c r="G39" s="326"/>
      <c r="H39" s="201">
        <v>2021</v>
      </c>
      <c r="I39" s="126">
        <v>2022</v>
      </c>
      <c r="J39" s="326"/>
      <c r="Q39" s="41" t="s">
        <v>66</v>
      </c>
      <c r="R39" s="54">
        <f>SUM(E41,E46)</f>
        <v>3056.0066850000003</v>
      </c>
      <c r="S39" s="54">
        <f>SUM(F41,F46)</f>
        <v>2156.8824528074992</v>
      </c>
    </row>
    <row r="40" spans="3:19">
      <c r="C40" s="319" t="s">
        <v>68</v>
      </c>
      <c r="D40" s="320"/>
      <c r="E40" s="160">
        <f>SUM(E41:E44)</f>
        <v>4817.9862079999994</v>
      </c>
      <c r="F40" s="161">
        <f>SUM(F41:F44)</f>
        <v>5134.6411790100001</v>
      </c>
      <c r="G40" s="162">
        <f>((F40/E40)-1)</f>
        <v>6.5723511305244564E-2</v>
      </c>
      <c r="H40" s="202">
        <f>SUM(H41:H44)</f>
        <v>55537.755877999996</v>
      </c>
      <c r="I40" s="161">
        <f>SUM(I41:I44)</f>
        <v>57797.770583943624</v>
      </c>
      <c r="J40" s="162">
        <f>((I40/H40)-1)</f>
        <v>4.0693302604956072E-2</v>
      </c>
      <c r="Q40" s="41" t="s">
        <v>65</v>
      </c>
      <c r="R40" s="54">
        <f>SUM(E42,E47)</f>
        <v>1717.6874389801385</v>
      </c>
      <c r="S40" s="54">
        <f>SUM(F42,F47)</f>
        <v>2922.4236070674724</v>
      </c>
    </row>
    <row r="41" spans="3:19">
      <c r="C41" s="128" t="s">
        <v>66</v>
      </c>
      <c r="D41" s="69"/>
      <c r="E41" s="113">
        <v>2998.5050730000003</v>
      </c>
      <c r="F41" s="129">
        <f>D12</f>
        <v>2114.3329888074991</v>
      </c>
      <c r="G41" s="130">
        <f t="shared" ref="G41:G48" si="2">((F41/E41)-1)</f>
        <v>-0.29487096491982523</v>
      </c>
      <c r="H41" s="203">
        <v>31293.611003999999</v>
      </c>
      <c r="I41" s="129">
        <v>29167.574178786126</v>
      </c>
      <c r="J41" s="130">
        <f t="shared" ref="J41:J48" si="3">((I41/H41)-1)</f>
        <v>-6.7938366874379486E-2</v>
      </c>
      <c r="Q41" s="41" t="s">
        <v>67</v>
      </c>
      <c r="R41" s="54">
        <f>E43</f>
        <v>144.47388100000001</v>
      </c>
      <c r="S41" s="54">
        <f>F43</f>
        <v>136.59295921250006</v>
      </c>
    </row>
    <row r="42" spans="3:19">
      <c r="C42" s="128" t="s">
        <v>65</v>
      </c>
      <c r="D42" s="69"/>
      <c r="E42" s="113">
        <v>1601.4024829999992</v>
      </c>
      <c r="F42" s="129">
        <f>D13</f>
        <v>2810.9523618800004</v>
      </c>
      <c r="G42" s="130">
        <f t="shared" si="2"/>
        <v>0.75530660887579115</v>
      </c>
      <c r="H42" s="203">
        <v>21619.872431999996</v>
      </c>
      <c r="I42" s="129">
        <v>25877.431749582505</v>
      </c>
      <c r="J42" s="130">
        <f t="shared" si="3"/>
        <v>0.19692804992136836</v>
      </c>
      <c r="Q42" s="41" t="s">
        <v>5</v>
      </c>
      <c r="R42" s="54">
        <f>E44</f>
        <v>73.604771000000014</v>
      </c>
      <c r="S42" s="54">
        <f>F44</f>
        <v>72.762869109999954</v>
      </c>
    </row>
    <row r="43" spans="3:19">
      <c r="C43" s="128" t="s">
        <v>67</v>
      </c>
      <c r="D43" s="69"/>
      <c r="E43" s="113">
        <v>144.47388100000001</v>
      </c>
      <c r="F43" s="129">
        <f>D14</f>
        <v>136.59295921250006</v>
      </c>
      <c r="G43" s="130">
        <f t="shared" si="2"/>
        <v>-5.4549111112339732E-2</v>
      </c>
      <c r="H43" s="203">
        <v>1822.5749889999997</v>
      </c>
      <c r="I43" s="129">
        <v>1931.3280319700004</v>
      </c>
      <c r="J43" s="130">
        <f t="shared" si="3"/>
        <v>5.9669996365784961E-2</v>
      </c>
    </row>
    <row r="44" spans="3:19">
      <c r="C44" s="128" t="s">
        <v>5</v>
      </c>
      <c r="D44" s="69"/>
      <c r="E44" s="113">
        <v>73.604771000000014</v>
      </c>
      <c r="F44" s="129">
        <f>D15</f>
        <v>72.762869109999954</v>
      </c>
      <c r="G44" s="309">
        <f t="shared" si="2"/>
        <v>-1.1438142916035399E-2</v>
      </c>
      <c r="H44" s="203">
        <v>801.697453</v>
      </c>
      <c r="I44" s="129">
        <v>821.43662360500002</v>
      </c>
      <c r="J44" s="130">
        <f t="shared" si="3"/>
        <v>2.4621720489612198E-2</v>
      </c>
      <c r="Q44" s="41"/>
      <c r="R44" s="41"/>
      <c r="S44" s="41"/>
    </row>
    <row r="45" spans="3:19">
      <c r="C45" s="319" t="s">
        <v>64</v>
      </c>
      <c r="D45" s="320"/>
      <c r="E45" s="160">
        <f>SUM(E46:E47)</f>
        <v>173.7865679801393</v>
      </c>
      <c r="F45" s="161">
        <f>SUM(F46:F47)</f>
        <v>154.02070918747214</v>
      </c>
      <c r="G45" s="162">
        <f t="shared" si="2"/>
        <v>-0.11373640104870497</v>
      </c>
      <c r="H45" s="202">
        <f>SUM(H46:H47)</f>
        <v>1859.2599257616712</v>
      </c>
      <c r="I45" s="161">
        <f>SUM(I46:I47)</f>
        <v>1839.3920604467651</v>
      </c>
      <c r="J45" s="162">
        <f t="shared" si="3"/>
        <v>-1.0685899824774081E-2</v>
      </c>
    </row>
    <row r="46" spans="3:19">
      <c r="C46" s="128" t="s">
        <v>66</v>
      </c>
      <c r="D46" s="69"/>
      <c r="E46" s="113">
        <v>57.501612000000009</v>
      </c>
      <c r="F46" s="129">
        <f>E12</f>
        <v>42.549464</v>
      </c>
      <c r="G46" s="130">
        <f t="shared" si="2"/>
        <v>-0.26003006663534933</v>
      </c>
      <c r="H46" s="203">
        <v>632.06993199999988</v>
      </c>
      <c r="I46" s="129">
        <v>580.07984347022193</v>
      </c>
      <c r="J46" s="130">
        <f t="shared" si="3"/>
        <v>-8.2253696778884167E-2</v>
      </c>
    </row>
    <row r="47" spans="3:19" ht="13.5" thickBot="1">
      <c r="C47" s="131" t="s">
        <v>65</v>
      </c>
      <c r="D47" s="69"/>
      <c r="E47" s="118">
        <v>116.28495598013929</v>
      </c>
      <c r="F47" s="132">
        <f>E13</f>
        <v>111.47124518747214</v>
      </c>
      <c r="G47" s="133">
        <f t="shared" si="2"/>
        <v>-4.139581730150288E-2</v>
      </c>
      <c r="H47" s="204">
        <v>1227.1899937616713</v>
      </c>
      <c r="I47" s="132">
        <v>1259.3122169765431</v>
      </c>
      <c r="J47" s="133">
        <f t="shared" si="3"/>
        <v>2.6175427911051097E-2</v>
      </c>
    </row>
    <row r="48" spans="3:19" ht="14.25" thickTop="1" thickBot="1">
      <c r="C48" s="321" t="s">
        <v>108</v>
      </c>
      <c r="D48" s="322"/>
      <c r="E48" s="163">
        <f>SUM(E40,E45)</f>
        <v>4991.7727759801382</v>
      </c>
      <c r="F48" s="164">
        <f>SUM(F40,F45)</f>
        <v>5288.6618881974719</v>
      </c>
      <c r="G48" s="165">
        <f t="shared" si="2"/>
        <v>5.9475686402620687E-2</v>
      </c>
      <c r="H48" s="205">
        <f>SUM(H40,H45)</f>
        <v>57397.015803761664</v>
      </c>
      <c r="I48" s="164">
        <f>SUM(I40,I45)</f>
        <v>59637.162644390388</v>
      </c>
      <c r="J48" s="165">
        <f t="shared" si="3"/>
        <v>3.9028977539315113E-2</v>
      </c>
    </row>
    <row r="49" spans="3:23">
      <c r="C49" s="227"/>
      <c r="D49" s="72"/>
      <c r="E49" s="36"/>
      <c r="F49" s="36"/>
      <c r="G49" s="74"/>
    </row>
    <row r="50" spans="3:23">
      <c r="C50" s="72"/>
      <c r="D50" s="72"/>
      <c r="E50" s="36"/>
      <c r="F50" s="36"/>
      <c r="G50" s="74"/>
    </row>
    <row r="51" spans="3:23">
      <c r="C51" s="5" t="s">
        <v>119</v>
      </c>
    </row>
    <row r="52" spans="3:23">
      <c r="C52" s="5"/>
      <c r="M52" s="36"/>
    </row>
    <row r="53" spans="3:23" ht="13.5" thickBot="1">
      <c r="C53" s="5"/>
      <c r="L53" s="36"/>
      <c r="M53" s="36"/>
    </row>
    <row r="54" spans="3:23" ht="12.75" customHeight="1">
      <c r="C54" s="120"/>
      <c r="D54" s="121"/>
      <c r="E54" s="328" t="s">
        <v>127</v>
      </c>
      <c r="F54" s="329"/>
      <c r="G54" s="325" t="s">
        <v>74</v>
      </c>
      <c r="H54" s="330" t="s">
        <v>128</v>
      </c>
      <c r="I54" s="331"/>
      <c r="J54" s="325" t="s">
        <v>74</v>
      </c>
      <c r="L54" s="36"/>
      <c r="M54" s="36"/>
    </row>
    <row r="55" spans="3:23" ht="12.75" customHeight="1">
      <c r="C55" s="123" t="s">
        <v>75</v>
      </c>
      <c r="D55" s="124"/>
      <c r="E55" s="125">
        <v>2021</v>
      </c>
      <c r="F55" s="126">
        <v>2022</v>
      </c>
      <c r="G55" s="326"/>
      <c r="H55" s="201">
        <v>2021</v>
      </c>
      <c r="I55" s="126">
        <v>2022</v>
      </c>
      <c r="J55" s="326"/>
      <c r="L55" s="36"/>
      <c r="M55" s="36"/>
    </row>
    <row r="56" spans="3:23">
      <c r="C56" s="319" t="s">
        <v>68</v>
      </c>
      <c r="D56" s="320"/>
      <c r="E56" s="160">
        <f>SUM(E57:E60)</f>
        <v>4817.9862080000003</v>
      </c>
      <c r="F56" s="161">
        <f>SUM(F57:F60)</f>
        <v>5134.6411790099992</v>
      </c>
      <c r="G56" s="162">
        <f>((F56/E56)-1)</f>
        <v>6.5723511305244342E-2</v>
      </c>
      <c r="H56" s="202">
        <f>SUM(H57:H60)</f>
        <v>55537.755877999996</v>
      </c>
      <c r="I56" s="161">
        <f>SUM(I57:I60)</f>
        <v>57797.770583943631</v>
      </c>
      <c r="J56" s="162">
        <f>((I56/H56)-1)</f>
        <v>4.0693302604956072E-2</v>
      </c>
    </row>
    <row r="57" spans="3:23" ht="25.5">
      <c r="C57" s="333" t="s">
        <v>78</v>
      </c>
      <c r="D57" s="242" t="s">
        <v>79</v>
      </c>
      <c r="E57" s="276">
        <f>SUM(E43:E44)+28.673453</f>
        <v>246.75210500000003</v>
      </c>
      <c r="F57" s="277">
        <f>SUM(F43:F44)+33.2186039975</f>
        <v>242.57443232000003</v>
      </c>
      <c r="G57" s="140">
        <f t="shared" ref="G57:G65" si="4">((F57/E57)-1)</f>
        <v>-1.6930646569357499E-2</v>
      </c>
      <c r="H57" s="219">
        <f>SUM(H43:H44)+356.382931</f>
        <v>2980.6553729999996</v>
      </c>
      <c r="I57" s="277">
        <f>SUM(I43:I44)+354.0107596175</f>
        <v>3106.7754151925005</v>
      </c>
      <c r="J57" s="140">
        <f t="shared" ref="J57:J65" si="5">((I57/H57)-1)</f>
        <v>4.2312856204359539E-2</v>
      </c>
      <c r="L57" s="36"/>
      <c r="Q57" s="41"/>
      <c r="R57" s="41"/>
      <c r="T57" s="41">
        <v>2021</v>
      </c>
      <c r="U57" s="41">
        <v>2022</v>
      </c>
      <c r="V57" s="41"/>
      <c r="W57" s="41"/>
    </row>
    <row r="58" spans="3:23" ht="13.5">
      <c r="C58" s="334"/>
      <c r="D58" s="243" t="s">
        <v>110</v>
      </c>
      <c r="E58" s="232">
        <v>238.54359529250016</v>
      </c>
      <c r="F58" s="280">
        <v>164.56555716249963</v>
      </c>
      <c r="G58" s="241">
        <f t="shared" si="4"/>
        <v>-0.31012376601136271</v>
      </c>
      <c r="H58" s="234">
        <v>2319.7558028949993</v>
      </c>
      <c r="I58" s="233">
        <v>2025.11135139</v>
      </c>
      <c r="J58" s="241">
        <f t="shared" si="5"/>
        <v>-0.12701528804768591</v>
      </c>
      <c r="L58" s="36"/>
      <c r="M58" s="36"/>
      <c r="Q58" s="327" t="s">
        <v>80</v>
      </c>
      <c r="R58" s="41" t="s">
        <v>66</v>
      </c>
      <c r="T58" s="54">
        <f>SUM(E60,E64)</f>
        <v>2817.4630897075003</v>
      </c>
      <c r="U58" s="54">
        <f>SUM(F60,F64)</f>
        <v>1992.3168956449995</v>
      </c>
      <c r="V58" s="119">
        <f t="shared" ref="V58:W61" si="6">T58/T$64</f>
        <v>0.56442134210611972</v>
      </c>
      <c r="W58" s="119">
        <f t="shared" si="6"/>
        <v>0.37671474141525024</v>
      </c>
    </row>
    <row r="59" spans="3:23">
      <c r="C59" s="332" t="s">
        <v>80</v>
      </c>
      <c r="D59" s="244" t="s">
        <v>81</v>
      </c>
      <c r="E59" s="113">
        <f>SUM(E42:E44)-E57</f>
        <v>1572.7290299999993</v>
      </c>
      <c r="F59" s="129">
        <f>SUM(F42:F44)-F57</f>
        <v>2777.7337578825</v>
      </c>
      <c r="G59" s="130">
        <f t="shared" si="4"/>
        <v>0.766187121174015</v>
      </c>
      <c r="H59" s="203">
        <f>SUM(H42:H44)-H57</f>
        <v>21263.489500999996</v>
      </c>
      <c r="I59" s="129">
        <f>SUM(I42:I44)-I57</f>
        <v>25523.420989965005</v>
      </c>
      <c r="J59" s="130">
        <f t="shared" si="5"/>
        <v>0.20034018822567523</v>
      </c>
      <c r="Q59" s="327"/>
      <c r="R59" s="41" t="s">
        <v>65</v>
      </c>
      <c r="T59" s="54">
        <f>SUM(E59,E63)</f>
        <v>1668.6790209801386</v>
      </c>
      <c r="U59" s="54">
        <f>SUM(F59,F63)</f>
        <v>2867.7822510699721</v>
      </c>
      <c r="V59" s="119">
        <f t="shared" si="6"/>
        <v>0.33428585311607906</v>
      </c>
      <c r="W59" s="119">
        <f t="shared" si="6"/>
        <v>0.5422510101222211</v>
      </c>
    </row>
    <row r="60" spans="3:23">
      <c r="C60" s="332"/>
      <c r="D60" s="245" t="s">
        <v>41</v>
      </c>
      <c r="E60" s="113">
        <f>E41-E58</f>
        <v>2759.9614777075003</v>
      </c>
      <c r="F60" s="129">
        <f>F41-F58</f>
        <v>1949.7674316449995</v>
      </c>
      <c r="G60" s="130">
        <f t="shared" si="4"/>
        <v>-0.29355266463192453</v>
      </c>
      <c r="H60" s="203">
        <f>H41-H58</f>
        <v>28973.855201104998</v>
      </c>
      <c r="I60" s="129">
        <f>I41-I58</f>
        <v>27142.462827396128</v>
      </c>
      <c r="J60" s="130">
        <f t="shared" si="5"/>
        <v>-6.3208446407885144E-2</v>
      </c>
      <c r="Q60" s="327" t="s">
        <v>78</v>
      </c>
      <c r="R60" s="41" t="s">
        <v>66</v>
      </c>
      <c r="T60" s="54">
        <f>E58</f>
        <v>238.54359529250016</v>
      </c>
      <c r="U60" s="54">
        <f>F58</f>
        <v>164.56555716249963</v>
      </c>
      <c r="V60" s="119">
        <f t="shared" si="6"/>
        <v>4.7787350506085874E-2</v>
      </c>
      <c r="W60" s="119">
        <f t="shared" si="6"/>
        <v>3.1116671975146504E-2</v>
      </c>
    </row>
    <row r="61" spans="3:23">
      <c r="C61" s="319" t="s">
        <v>64</v>
      </c>
      <c r="D61" s="320"/>
      <c r="E61" s="160">
        <f>SUM(E62:E64)</f>
        <v>173.7865679801393</v>
      </c>
      <c r="F61" s="161">
        <f>SUM(F62:F64)</f>
        <v>154.02070918747214</v>
      </c>
      <c r="G61" s="162">
        <f t="shared" si="4"/>
        <v>-0.11373640104870497</v>
      </c>
      <c r="H61" s="202">
        <f>SUM(H62:H64)</f>
        <v>1859.2599257616712</v>
      </c>
      <c r="I61" s="161">
        <f>SUM(I62:I64)</f>
        <v>1839.3920604467651</v>
      </c>
      <c r="J61" s="162">
        <f t="shared" si="5"/>
        <v>-1.0685899824774081E-2</v>
      </c>
      <c r="Q61" s="327"/>
      <c r="R61" s="41" t="s">
        <v>89</v>
      </c>
      <c r="T61" s="54">
        <f>E57+E62</f>
        <v>267.08707000000004</v>
      </c>
      <c r="U61" s="54">
        <f>F57+F62</f>
        <v>263.99718432000003</v>
      </c>
      <c r="V61" s="119">
        <f t="shared" si="6"/>
        <v>5.3505454271715581E-2</v>
      </c>
      <c r="W61" s="119">
        <f t="shared" si="6"/>
        <v>4.9917576487382126E-2</v>
      </c>
    </row>
    <row r="62" spans="3:23">
      <c r="C62" s="267" t="s">
        <v>78</v>
      </c>
      <c r="D62" s="268" t="s">
        <v>114</v>
      </c>
      <c r="E62" s="304">
        <v>20.334965</v>
      </c>
      <c r="F62" s="278">
        <v>21.422751999999999</v>
      </c>
      <c r="G62" s="269">
        <f t="shared" si="4"/>
        <v>5.3493428683058841E-2</v>
      </c>
      <c r="H62" s="279">
        <v>205.85432299999999</v>
      </c>
      <c r="I62" s="278">
        <v>199.19078100000004</v>
      </c>
      <c r="J62" s="269">
        <f t="shared" si="5"/>
        <v>-3.2370182480938037E-2</v>
      </c>
      <c r="Q62" s="41"/>
      <c r="R62" s="41"/>
      <c r="T62" s="41"/>
      <c r="U62" s="41"/>
      <c r="V62" s="41"/>
      <c r="W62" s="41"/>
    </row>
    <row r="63" spans="3:23">
      <c r="C63" s="335" t="s">
        <v>80</v>
      </c>
      <c r="D63" s="244" t="s">
        <v>81</v>
      </c>
      <c r="E63" s="113">
        <f>E47-E62</f>
        <v>95.94999098013929</v>
      </c>
      <c r="F63" s="129">
        <f>F47-F62</f>
        <v>90.048493187472133</v>
      </c>
      <c r="G63" s="130">
        <f>((F63/E63)-1)</f>
        <v>-6.1505975481422559E-2</v>
      </c>
      <c r="H63" s="203">
        <f>H47-H62</f>
        <v>1021.3356707616713</v>
      </c>
      <c r="I63" s="129">
        <f>I47-I62</f>
        <v>1060.1214359765431</v>
      </c>
      <c r="J63" s="306">
        <f>((I63/H63)-1)</f>
        <v>3.7975531771985427E-2</v>
      </c>
      <c r="Q63" s="41"/>
      <c r="R63" s="41"/>
      <c r="T63" s="41"/>
      <c r="U63" s="41"/>
      <c r="V63" s="41"/>
      <c r="W63" s="41"/>
    </row>
    <row r="64" spans="3:23" ht="13.5" thickBot="1">
      <c r="C64" s="336"/>
      <c r="D64" s="246" t="s">
        <v>41</v>
      </c>
      <c r="E64" s="118">
        <f>E46</f>
        <v>57.501612000000009</v>
      </c>
      <c r="F64" s="132">
        <f>F46</f>
        <v>42.549464</v>
      </c>
      <c r="G64" s="133">
        <f t="shared" si="4"/>
        <v>-0.26003006663534933</v>
      </c>
      <c r="H64" s="204">
        <f>H46</f>
        <v>632.06993199999988</v>
      </c>
      <c r="I64" s="132">
        <f>I46</f>
        <v>580.07984347022193</v>
      </c>
      <c r="J64" s="133">
        <f t="shared" si="5"/>
        <v>-8.2253696778884167E-2</v>
      </c>
      <c r="Q64" s="41"/>
      <c r="R64" s="41"/>
      <c r="T64" s="54">
        <f>SUM(T58:T61)</f>
        <v>4991.7727759801382</v>
      </c>
      <c r="U64" s="54">
        <f>SUM(U58:U61)</f>
        <v>5288.6618881974709</v>
      </c>
      <c r="V64" s="41"/>
      <c r="W64" s="41"/>
    </row>
    <row r="65" spans="3:22" ht="14.25" thickTop="1" thickBot="1">
      <c r="C65" s="321" t="s">
        <v>108</v>
      </c>
      <c r="D65" s="322"/>
      <c r="E65" s="163">
        <f>SUM(E56,E61)</f>
        <v>4991.7727759801392</v>
      </c>
      <c r="F65" s="164">
        <f>SUM(F56,F61)</f>
        <v>5288.6618881974709</v>
      </c>
      <c r="G65" s="165">
        <f t="shared" si="4"/>
        <v>5.9475686402620243E-2</v>
      </c>
      <c r="H65" s="205">
        <f>SUM(H56,H61)</f>
        <v>57397.015803761664</v>
      </c>
      <c r="I65" s="164">
        <f>SUM(I56,I61)</f>
        <v>59637.162644390395</v>
      </c>
      <c r="J65" s="165">
        <f t="shared" si="5"/>
        <v>3.9028977539315113E-2</v>
      </c>
      <c r="Q65" s="41"/>
      <c r="R65" s="41"/>
      <c r="S65" s="41"/>
      <c r="T65" s="41"/>
      <c r="U65" s="41"/>
      <c r="V65" s="41"/>
    </row>
    <row r="66" spans="3:22">
      <c r="C66" s="227" t="s">
        <v>111</v>
      </c>
    </row>
    <row r="67" spans="3:22">
      <c r="C67" s="5"/>
    </row>
    <row r="68" spans="3:22">
      <c r="C68" s="5"/>
    </row>
    <row r="69" spans="3:22">
      <c r="C69" s="5"/>
    </row>
    <row r="70" spans="3:22">
      <c r="C70" s="5"/>
    </row>
    <row r="71" spans="3:22">
      <c r="C71" s="5"/>
    </row>
    <row r="72" spans="3:22">
      <c r="C72" s="5"/>
    </row>
    <row r="73" spans="3:22">
      <c r="C73" s="5"/>
    </row>
    <row r="74" spans="3:22">
      <c r="C74" s="5"/>
    </row>
    <row r="75" spans="3:22">
      <c r="C75" s="5"/>
    </row>
    <row r="76" spans="3:22">
      <c r="C76" s="5"/>
    </row>
    <row r="77" spans="3:22">
      <c r="C77" s="5"/>
    </row>
    <row r="78" spans="3:22">
      <c r="C78" s="5"/>
    </row>
    <row r="79" spans="3:22">
      <c r="C79" s="5"/>
    </row>
    <row r="80" spans="3:22">
      <c r="C80" s="5"/>
    </row>
    <row r="81" spans="3:7">
      <c r="C81" s="5"/>
    </row>
    <row r="82" spans="3:7">
      <c r="C82" s="5"/>
    </row>
    <row r="83" spans="3:7">
      <c r="C83" s="72"/>
      <c r="D83" s="72"/>
      <c r="E83" s="36"/>
      <c r="F83" s="36"/>
      <c r="G83" s="74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83"/>
  <sheetViews>
    <sheetView view="pageBreakPreview" topLeftCell="A31" zoomScale="120" zoomScaleNormal="100" zoomScaleSheetLayoutView="120" workbookViewId="0">
      <selection activeCell="I64" sqref="I64"/>
    </sheetView>
  </sheetViews>
  <sheetFormatPr baseColWidth="10" defaultColWidth="11.42578125" defaultRowHeight="12.75"/>
  <cols>
    <col min="1" max="2" width="5.42578125" customWidth="1"/>
    <col min="3" max="3" width="26.42578125" bestFit="1" customWidth="1"/>
    <col min="4" max="5" width="11.7109375" customWidth="1"/>
    <col min="6" max="6" width="9.7109375" customWidth="1"/>
    <col min="7" max="7" width="11.7109375" customWidth="1"/>
    <col min="8" max="8" width="12.7109375" customWidth="1"/>
    <col min="9" max="9" width="9.7109375" customWidth="1"/>
    <col min="10" max="10" width="6.85546875" customWidth="1"/>
    <col min="11" max="11" width="6.85546875" style="41" customWidth="1"/>
    <col min="12" max="12" width="27.5703125" style="41" customWidth="1"/>
    <col min="13" max="13" width="21.85546875" style="42" customWidth="1"/>
    <col min="14" max="21" width="11.42578125" style="42"/>
    <col min="22" max="25" width="11.42578125" style="41"/>
  </cols>
  <sheetData>
    <row r="1" spans="2:25">
      <c r="N1" s="43">
        <v>3066.3426032056236</v>
      </c>
      <c r="O1" s="43"/>
      <c r="P1" s="43"/>
      <c r="Q1" s="43"/>
      <c r="R1" s="43"/>
      <c r="S1" s="43"/>
      <c r="T1" s="43"/>
      <c r="U1" s="43"/>
    </row>
    <row r="2" spans="2:25" ht="15">
      <c r="B2" s="12" t="s">
        <v>83</v>
      </c>
      <c r="D2" s="2"/>
      <c r="E2" s="12"/>
      <c r="F2" s="12"/>
      <c r="G2" s="12"/>
      <c r="H2" s="12"/>
      <c r="I2" s="12"/>
      <c r="J2" s="12"/>
      <c r="K2" s="44"/>
      <c r="L2" s="45"/>
      <c r="M2" s="46"/>
      <c r="N2" s="47">
        <v>1230.4754866556138</v>
      </c>
      <c r="O2" s="47"/>
      <c r="P2" s="47"/>
      <c r="Q2" s="47"/>
      <c r="R2" s="43"/>
      <c r="S2" s="43"/>
      <c r="T2" s="43"/>
      <c r="U2" s="43"/>
    </row>
    <row r="3" spans="2:25" ht="12" customHeight="1">
      <c r="C3" s="13"/>
      <c r="D3" s="2"/>
      <c r="E3" s="13"/>
      <c r="F3" s="13"/>
      <c r="G3" s="13"/>
      <c r="H3" s="13"/>
      <c r="I3" s="13"/>
      <c r="J3" s="13"/>
      <c r="K3" s="48"/>
      <c r="L3" s="49"/>
      <c r="M3" s="50"/>
      <c r="N3" s="47">
        <v>117.97097317393826</v>
      </c>
      <c r="O3" s="47"/>
      <c r="P3" s="47"/>
      <c r="Q3" s="47"/>
      <c r="R3" s="43"/>
      <c r="S3" s="43"/>
      <c r="T3" s="43"/>
      <c r="U3" s="43"/>
    </row>
    <row r="4" spans="2:25" ht="15">
      <c r="B4" s="12" t="s">
        <v>86</v>
      </c>
      <c r="D4" s="2"/>
      <c r="E4" s="12"/>
      <c r="F4" s="12"/>
      <c r="G4" s="12"/>
      <c r="H4" s="12"/>
      <c r="I4" s="12"/>
      <c r="J4" s="12"/>
      <c r="K4" s="44"/>
      <c r="L4" s="45"/>
      <c r="M4" s="46"/>
      <c r="N4" s="47">
        <v>0.26741999999999999</v>
      </c>
      <c r="O4" s="47"/>
      <c r="P4" s="47"/>
      <c r="Q4" s="47"/>
      <c r="R4" s="43"/>
      <c r="S4" s="43"/>
      <c r="T4" s="43"/>
      <c r="U4" s="43"/>
    </row>
    <row r="5" spans="2:25">
      <c r="N5" s="43">
        <v>87.475207379999986</v>
      </c>
      <c r="O5" s="43"/>
      <c r="P5" s="43"/>
      <c r="Q5" s="43"/>
      <c r="R5" s="43"/>
      <c r="S5" s="43"/>
      <c r="T5" s="43"/>
      <c r="U5" s="43"/>
    </row>
    <row r="6" spans="2:25">
      <c r="C6" s="5"/>
      <c r="N6" s="43">
        <v>59.658878850000001</v>
      </c>
      <c r="O6" s="43"/>
      <c r="P6" s="43"/>
      <c r="Q6" s="43"/>
      <c r="R6" s="43"/>
      <c r="S6" s="43"/>
      <c r="T6" s="43"/>
      <c r="U6" s="43"/>
    </row>
    <row r="7" spans="2:25">
      <c r="C7" s="5"/>
      <c r="N7" s="43">
        <v>34.086593865910203</v>
      </c>
      <c r="O7" s="43"/>
      <c r="P7" s="43"/>
      <c r="Q7" s="43"/>
      <c r="R7" s="43"/>
      <c r="S7" s="43"/>
      <c r="T7" s="43"/>
      <c r="U7" s="43"/>
    </row>
    <row r="8" spans="2:25" ht="19.5" customHeight="1">
      <c r="C8" s="15"/>
      <c r="D8" s="29"/>
      <c r="E8" s="30"/>
      <c r="M8" s="51" t="s">
        <v>1</v>
      </c>
      <c r="N8" s="52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</row>
    <row r="9" spans="2:25">
      <c r="C9" s="31"/>
      <c r="D9" s="32"/>
      <c r="E9" s="32"/>
      <c r="M9" s="42" t="s">
        <v>85</v>
      </c>
      <c r="N9" s="53">
        <f>E29</f>
        <v>2156.8824528074992</v>
      </c>
      <c r="O9"/>
      <c r="P9"/>
      <c r="Q9"/>
      <c r="R9"/>
      <c r="S9"/>
      <c r="T9"/>
      <c r="U9"/>
      <c r="V9"/>
      <c r="W9"/>
      <c r="X9"/>
      <c r="Y9"/>
    </row>
    <row r="10" spans="2:25">
      <c r="C10" s="31"/>
      <c r="D10" s="32"/>
      <c r="E10" s="32"/>
      <c r="M10" s="42" t="s">
        <v>2</v>
      </c>
      <c r="N10" s="53">
        <f t="shared" ref="N10:N11" si="0">E30</f>
        <v>2611.3619059399998</v>
      </c>
      <c r="O10" s="53"/>
      <c r="P10" s="53"/>
      <c r="Q10" s="53"/>
      <c r="R10" s="53"/>
      <c r="S10" s="53"/>
      <c r="T10" s="54"/>
      <c r="U10" s="54"/>
      <c r="V10" s="54"/>
      <c r="W10" s="54"/>
      <c r="X10" s="54"/>
      <c r="Y10" s="54"/>
    </row>
    <row r="11" spans="2:25">
      <c r="C11" s="31"/>
      <c r="D11" s="32"/>
      <c r="E11" s="32"/>
      <c r="M11" s="42" t="s">
        <v>130</v>
      </c>
      <c r="N11" s="359">
        <f t="shared" si="0"/>
        <v>2.4829819999999999E-2</v>
      </c>
      <c r="O11" s="53"/>
      <c r="P11" s="53"/>
      <c r="Q11" s="53"/>
      <c r="R11" s="53"/>
      <c r="S11" s="53"/>
      <c r="T11" s="54"/>
      <c r="U11" s="54"/>
      <c r="V11" s="54"/>
      <c r="W11" s="54"/>
      <c r="X11" s="54"/>
      <c r="Y11" s="54"/>
    </row>
    <row r="12" spans="2:25">
      <c r="C12" s="31"/>
      <c r="D12" s="32"/>
      <c r="E12" s="32"/>
      <c r="M12" s="42" t="s">
        <v>84</v>
      </c>
      <c r="N12" s="53">
        <f>E32</f>
        <v>255.35522312997273</v>
      </c>
      <c r="O12" s="53"/>
      <c r="P12" s="53"/>
      <c r="Q12" s="53"/>
      <c r="R12" s="53"/>
      <c r="S12" s="53"/>
      <c r="T12" s="54"/>
      <c r="U12" s="54"/>
      <c r="V12" s="54"/>
      <c r="W12" s="54"/>
      <c r="X12" s="54"/>
      <c r="Y12" s="54"/>
    </row>
    <row r="13" spans="2:25">
      <c r="C13" s="31"/>
      <c r="D13" s="32"/>
      <c r="E13" s="32"/>
      <c r="J13" s="14"/>
      <c r="M13" s="42" t="s">
        <v>6</v>
      </c>
      <c r="N13" s="53">
        <f>E33</f>
        <v>54.6413559975</v>
      </c>
      <c r="O13" s="53"/>
      <c r="P13" s="53"/>
      <c r="Q13" s="53"/>
      <c r="R13" s="53"/>
      <c r="S13" s="53"/>
      <c r="T13" s="54"/>
      <c r="U13" s="54"/>
      <c r="V13" s="54"/>
      <c r="W13" s="54"/>
      <c r="X13" s="54"/>
      <c r="Y13" s="54"/>
    </row>
    <row r="14" spans="2:25">
      <c r="C14" s="31"/>
      <c r="D14" s="32"/>
      <c r="E14" s="32"/>
      <c r="M14" s="42" t="s">
        <v>14</v>
      </c>
      <c r="N14" s="53">
        <f>E34</f>
        <v>136.59295921250006</v>
      </c>
      <c r="O14" s="53"/>
      <c r="P14" s="53"/>
      <c r="Q14" s="53"/>
      <c r="R14" s="53"/>
      <c r="S14" s="53"/>
      <c r="T14" s="54"/>
      <c r="U14" s="54"/>
      <c r="V14" s="54"/>
      <c r="W14" s="54"/>
      <c r="X14" s="54"/>
      <c r="Y14" s="54"/>
    </row>
    <row r="15" spans="2:25">
      <c r="C15" s="31"/>
      <c r="D15" s="32"/>
      <c r="E15" s="32"/>
      <c r="M15" s="42" t="s">
        <v>5</v>
      </c>
      <c r="N15" s="53">
        <f>E35</f>
        <v>72.762869109999954</v>
      </c>
      <c r="O15" s="53"/>
      <c r="P15" s="53"/>
      <c r="Q15" s="53"/>
      <c r="R15" s="53"/>
      <c r="S15" s="53"/>
      <c r="T15" s="54"/>
      <c r="U15" s="54"/>
      <c r="V15" s="54"/>
      <c r="W15" s="54"/>
      <c r="X15" s="54"/>
      <c r="Y15" s="54"/>
    </row>
    <row r="16" spans="2:25">
      <c r="C16" s="31"/>
      <c r="D16" s="32"/>
      <c r="E16" s="32"/>
      <c r="M16" s="42" t="s">
        <v>4</v>
      </c>
      <c r="N16" s="53">
        <f>E36</f>
        <v>1.0651220000000001</v>
      </c>
      <c r="O16" s="53"/>
      <c r="P16" s="53"/>
      <c r="Q16" s="53"/>
      <c r="R16" s="53"/>
      <c r="S16" s="53"/>
      <c r="T16" s="54"/>
      <c r="U16" s="54"/>
      <c r="V16" s="54"/>
      <c r="W16" s="54"/>
      <c r="X16" s="54"/>
      <c r="Y16" s="54"/>
    </row>
    <row r="17" spans="2:25">
      <c r="C17" s="15"/>
      <c r="D17" s="28"/>
      <c r="E17" s="28"/>
      <c r="M17" s="51" t="s">
        <v>7</v>
      </c>
      <c r="N17" s="55">
        <f>SUBTOTAL(109,N9:N16)</f>
        <v>5288.6867180174722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2:25">
      <c r="C18" s="15"/>
      <c r="D18" s="16"/>
      <c r="E18" s="16"/>
      <c r="F18" s="16"/>
      <c r="G18" s="16"/>
      <c r="H18" s="16"/>
      <c r="I18" s="16"/>
      <c r="N18" s="53"/>
      <c r="O18" s="53"/>
      <c r="P18" s="53"/>
      <c r="Q18" s="53"/>
      <c r="R18" s="53"/>
      <c r="S18" s="53"/>
      <c r="T18" s="54"/>
      <c r="U18" s="54"/>
      <c r="V18" s="54"/>
      <c r="W18" s="54"/>
      <c r="X18" s="65"/>
      <c r="Y18" s="65"/>
    </row>
    <row r="19" spans="2:25">
      <c r="C19" s="15"/>
      <c r="D19" s="16"/>
      <c r="E19" s="16"/>
      <c r="F19" s="16"/>
      <c r="G19" s="16"/>
      <c r="H19" s="16"/>
      <c r="I19" s="16"/>
      <c r="N19" s="66"/>
      <c r="O19" s="66"/>
      <c r="P19" s="53"/>
      <c r="Q19" s="53"/>
      <c r="R19" s="53"/>
      <c r="S19" s="53"/>
      <c r="T19" s="54"/>
      <c r="U19" s="54"/>
      <c r="V19" s="54"/>
      <c r="W19" s="54"/>
      <c r="X19" s="65"/>
      <c r="Y19" s="65"/>
    </row>
    <row r="20" spans="2:25">
      <c r="B20" s="69"/>
      <c r="C20" s="70"/>
      <c r="D20" s="71"/>
      <c r="E20" s="71"/>
      <c r="F20" s="71"/>
      <c r="G20" s="71"/>
      <c r="H20" s="71"/>
      <c r="I20" s="71"/>
      <c r="J20" s="69"/>
      <c r="N20" s="53"/>
      <c r="O20" s="53"/>
      <c r="P20" s="53"/>
      <c r="Q20" s="53"/>
      <c r="R20" s="53"/>
      <c r="S20" s="53"/>
      <c r="T20" s="54"/>
      <c r="U20" s="54"/>
      <c r="V20" s="54"/>
      <c r="W20" s="54"/>
      <c r="X20" s="65"/>
      <c r="Y20" s="65"/>
    </row>
    <row r="21" spans="2:25">
      <c r="B21" s="69"/>
      <c r="C21" s="70"/>
      <c r="D21" s="71"/>
      <c r="E21" s="71"/>
      <c r="F21" s="71"/>
      <c r="G21" s="71"/>
      <c r="H21" s="71"/>
      <c r="I21" s="71"/>
      <c r="J21" s="69"/>
      <c r="N21" s="53"/>
      <c r="O21" s="53"/>
      <c r="P21" s="53"/>
      <c r="Q21" s="53"/>
      <c r="R21" s="53"/>
      <c r="S21" s="53"/>
      <c r="T21" s="54"/>
      <c r="U21" s="54"/>
      <c r="V21" s="54"/>
      <c r="W21" s="54"/>
      <c r="X21" s="65"/>
      <c r="Y21" s="65"/>
    </row>
    <row r="22" spans="2:25">
      <c r="B22" s="69"/>
      <c r="C22" s="70"/>
      <c r="D22" s="71"/>
      <c r="E22" s="71"/>
      <c r="F22" s="71"/>
      <c r="G22" s="71"/>
      <c r="H22" s="71"/>
      <c r="I22" s="71"/>
      <c r="J22" s="69"/>
      <c r="N22" s="53"/>
      <c r="O22" s="53"/>
      <c r="P22" s="53"/>
      <c r="Q22" s="53"/>
      <c r="R22" s="53"/>
      <c r="S22" s="53"/>
      <c r="T22" s="54"/>
      <c r="U22" s="54"/>
      <c r="V22" s="54"/>
      <c r="W22" s="54"/>
      <c r="X22" s="65"/>
      <c r="Y22" s="65"/>
    </row>
    <row r="23" spans="2:25">
      <c r="C23" s="15"/>
      <c r="D23" s="16"/>
      <c r="E23" s="16"/>
      <c r="F23" s="16"/>
      <c r="G23" s="16"/>
      <c r="H23" s="16"/>
      <c r="I23" s="16"/>
      <c r="N23" s="53"/>
      <c r="O23" s="53"/>
      <c r="P23" s="53"/>
      <c r="Q23" s="53"/>
      <c r="R23" s="53"/>
      <c r="S23" s="53"/>
      <c r="T23" s="54"/>
      <c r="U23" s="54"/>
      <c r="V23" s="54"/>
      <c r="W23" s="54"/>
      <c r="X23" s="65"/>
      <c r="Y23" s="65"/>
    </row>
    <row r="24" spans="2:25">
      <c r="C24" s="15"/>
      <c r="D24" s="16"/>
      <c r="E24" s="16"/>
      <c r="F24" s="273"/>
      <c r="G24" s="226"/>
      <c r="H24" s="16"/>
      <c r="I24" s="16"/>
      <c r="N24" s="53"/>
      <c r="O24" s="53"/>
      <c r="P24" s="53"/>
      <c r="Q24" s="53"/>
      <c r="R24" s="53"/>
      <c r="S24" s="53"/>
      <c r="T24" s="54"/>
      <c r="U24" s="54"/>
      <c r="V24" s="54"/>
      <c r="W24" s="54"/>
      <c r="X24" s="65"/>
      <c r="Y24" s="65"/>
    </row>
    <row r="25" spans="2:25">
      <c r="C25" s="5" t="s">
        <v>121</v>
      </c>
      <c r="E25" s="7"/>
      <c r="F25" s="7"/>
      <c r="G25" s="7"/>
      <c r="H25" s="16"/>
      <c r="I25" s="16"/>
      <c r="J25" s="36"/>
      <c r="N25" s="53"/>
      <c r="O25" s="53"/>
      <c r="P25" s="53"/>
      <c r="Q25" s="53"/>
      <c r="R25" s="53"/>
      <c r="S25" s="53"/>
      <c r="T25" s="54"/>
      <c r="U25" s="54"/>
      <c r="V25" s="54"/>
      <c r="W25" s="54"/>
      <c r="X25" s="65"/>
      <c r="Y25" s="65"/>
    </row>
    <row r="26" spans="2:25" ht="13.5" thickBot="1">
      <c r="B26" s="5"/>
      <c r="C26" s="69"/>
      <c r="D26" s="69"/>
      <c r="E26" s="136"/>
      <c r="F26" s="136"/>
      <c r="G26" s="7"/>
      <c r="H26" s="16"/>
      <c r="I26" s="16"/>
      <c r="N26" s="53"/>
      <c r="O26" s="53"/>
      <c r="P26" s="53"/>
      <c r="Q26" s="53"/>
      <c r="R26" s="53"/>
      <c r="S26" s="53"/>
      <c r="T26" s="54"/>
      <c r="U26" s="54"/>
      <c r="V26" s="54"/>
      <c r="W26" s="54"/>
      <c r="X26" s="65"/>
      <c r="Y26" s="65"/>
    </row>
    <row r="27" spans="2:25" ht="16.5" customHeight="1">
      <c r="C27" s="257" t="s">
        <v>61</v>
      </c>
      <c r="D27" s="339" t="s">
        <v>127</v>
      </c>
      <c r="E27" s="339"/>
      <c r="F27" s="340" t="s">
        <v>74</v>
      </c>
      <c r="G27" s="342" t="s">
        <v>128</v>
      </c>
      <c r="H27" s="343"/>
      <c r="I27" s="340" t="s">
        <v>74</v>
      </c>
      <c r="N27" s="53">
        <v>2021</v>
      </c>
      <c r="O27" s="53">
        <v>2022</v>
      </c>
      <c r="P27" s="53"/>
      <c r="Q27" s="53"/>
      <c r="R27" s="53"/>
      <c r="S27" s="53"/>
      <c r="T27" s="54"/>
      <c r="U27" s="54"/>
      <c r="V27" s="54"/>
      <c r="W27" s="54"/>
      <c r="X27" s="65"/>
      <c r="Y27" s="65"/>
    </row>
    <row r="28" spans="2:25" ht="12" customHeight="1">
      <c r="C28" s="258"/>
      <c r="D28" s="75">
        <v>2021</v>
      </c>
      <c r="E28" s="76">
        <v>2022</v>
      </c>
      <c r="F28" s="341"/>
      <c r="G28" s="206">
        <v>2021</v>
      </c>
      <c r="H28" s="76">
        <v>2022</v>
      </c>
      <c r="I28" s="341"/>
      <c r="M28" s="42" t="s">
        <v>85</v>
      </c>
      <c r="N28" s="53">
        <f t="shared" ref="N28:O29" si="1">D29</f>
        <v>3056.0066850000003</v>
      </c>
      <c r="O28" s="53">
        <f t="shared" si="1"/>
        <v>2156.8824528074992</v>
      </c>
      <c r="P28" s="53"/>
      <c r="Q28" s="53"/>
      <c r="R28" s="53"/>
      <c r="S28" s="53"/>
      <c r="T28" s="54"/>
      <c r="U28" s="54"/>
      <c r="V28" s="54"/>
      <c r="W28" s="54"/>
      <c r="X28" s="65"/>
      <c r="Y28" s="65"/>
    </row>
    <row r="29" spans="2:25">
      <c r="C29" s="137" t="s">
        <v>85</v>
      </c>
      <c r="D29" s="138">
        <f>'Resumen (G)'!E41+'Resumen (G)'!E46</f>
        <v>3056.0066850000003</v>
      </c>
      <c r="E29" s="139">
        <f>'Resumen (G)'!F41+'Resumen (G)'!F46</f>
        <v>2156.8824528074992</v>
      </c>
      <c r="F29" s="140">
        <f>+E29/D29-1</f>
        <v>-0.29421540096941934</v>
      </c>
      <c r="G29" s="219">
        <f>'Resumen (G)'!H41+'Resumen (G)'!H46</f>
        <v>31925.680935999997</v>
      </c>
      <c r="H29" s="139">
        <f>'Resumen (G)'!I41+'Resumen (G)'!I46</f>
        <v>29747.654022256349</v>
      </c>
      <c r="I29" s="140">
        <f>+H29/G29-1</f>
        <v>-6.8221784152696419E-2</v>
      </c>
      <c r="J29" s="36"/>
      <c r="M29" s="42" t="s">
        <v>2</v>
      </c>
      <c r="N29" s="53">
        <f t="shared" si="1"/>
        <v>1584.9386779999998</v>
      </c>
      <c r="O29" s="53">
        <f t="shared" si="1"/>
        <v>2611.3619059399998</v>
      </c>
      <c r="P29" s="53"/>
      <c r="Q29" s="53"/>
      <c r="R29" s="53"/>
      <c r="S29" s="53"/>
      <c r="T29" s="54"/>
      <c r="U29" s="54"/>
      <c r="V29" s="54"/>
      <c r="W29" s="54"/>
      <c r="X29" s="65"/>
      <c r="Y29" s="65"/>
    </row>
    <row r="30" spans="2:25">
      <c r="C30" s="141" t="s">
        <v>2</v>
      </c>
      <c r="D30" s="142">
        <v>1584.9386779999998</v>
      </c>
      <c r="E30" s="143">
        <v>2611.3619059399998</v>
      </c>
      <c r="F30" s="144">
        <f t="shared" ref="F30:F37" si="2">+E30/D30-1</f>
        <v>0.6476106881530721</v>
      </c>
      <c r="G30" s="220">
        <v>21335.433389000002</v>
      </c>
      <c r="H30" s="143">
        <v>25316.874807150001</v>
      </c>
      <c r="I30" s="144">
        <f t="shared" ref="I30:I37" si="3">+H30/G30-1</f>
        <v>0.18661169639997688</v>
      </c>
      <c r="J30" s="224"/>
      <c r="K30" s="225"/>
      <c r="M30" s="42" t="s">
        <v>84</v>
      </c>
      <c r="N30" s="53">
        <f>D32</f>
        <v>82.818782980140895</v>
      </c>
      <c r="O30" s="53">
        <f>E32</f>
        <v>255.35522312997273</v>
      </c>
      <c r="P30" s="53"/>
      <c r="Q30" s="53"/>
      <c r="R30" s="53"/>
      <c r="S30" s="53"/>
      <c r="T30" s="54"/>
      <c r="U30" s="54"/>
      <c r="V30" s="54"/>
      <c r="W30" s="54"/>
      <c r="X30" s="65"/>
      <c r="Y30" s="65"/>
    </row>
    <row r="31" spans="2:25">
      <c r="C31" s="141" t="s">
        <v>130</v>
      </c>
      <c r="D31" s="354" t="s">
        <v>129</v>
      </c>
      <c r="E31" s="355">
        <v>2.4829819999999999E-2</v>
      </c>
      <c r="F31" s="144"/>
      <c r="G31" s="358" t="s">
        <v>129</v>
      </c>
      <c r="H31" s="355">
        <v>2.4829819999999999E-2</v>
      </c>
      <c r="I31" s="144"/>
      <c r="J31" s="224"/>
      <c r="K31" s="225"/>
      <c r="N31" s="53"/>
      <c r="O31" s="53"/>
      <c r="P31" s="53"/>
      <c r="Q31" s="53"/>
      <c r="R31" s="53"/>
      <c r="S31" s="53"/>
      <c r="T31" s="54"/>
      <c r="U31" s="54"/>
      <c r="V31" s="54"/>
      <c r="W31" s="54"/>
      <c r="X31" s="65"/>
      <c r="Y31" s="65"/>
    </row>
    <row r="32" spans="2:25">
      <c r="C32" s="141" t="s">
        <v>3</v>
      </c>
      <c r="D32" s="142">
        <f>'Resumen (G)'!E32-SUM('TipoRecurso (G)'!D29:D30,'TipoRecurso (G)'!D33:D36)</f>
        <v>82.818782980140895</v>
      </c>
      <c r="E32" s="143">
        <f>'Resumen (G)'!F32-SUM('TipoRecurso (G)'!E29:E30,'TipoRecurso (G)'!E33:E36)</f>
        <v>255.35522312997273</v>
      </c>
      <c r="F32" s="144">
        <f t="shared" si="2"/>
        <v>2.0833008399942838</v>
      </c>
      <c r="G32" s="220">
        <f>'Resumen (G)'!H32-SUM('TipoRecurso (G)'!G29:G30,'TipoRecurso (G)'!G33:G36)</f>
        <v>927.27563176166586</v>
      </c>
      <c r="H32" s="143">
        <f>'Resumen (G)'!I32-SUM('TipoRecurso (G)'!H29:H30,'TipoRecurso (G)'!H33:H36)</f>
        <v>1243.9802110618766</v>
      </c>
      <c r="I32" s="144">
        <f t="shared" si="3"/>
        <v>0.34154308433461789</v>
      </c>
      <c r="J32" s="36"/>
      <c r="M32" s="42" t="s">
        <v>4</v>
      </c>
      <c r="N32" s="77">
        <f>D36</f>
        <v>0.92155999999999993</v>
      </c>
      <c r="O32" s="77">
        <f>E36</f>
        <v>1.0651220000000001</v>
      </c>
      <c r="P32" s="53"/>
      <c r="Q32" s="53"/>
      <c r="R32" s="53"/>
      <c r="S32" s="53"/>
      <c r="T32" s="54"/>
      <c r="U32" s="54"/>
      <c r="V32" s="54"/>
      <c r="W32" s="54"/>
      <c r="X32" s="65"/>
      <c r="Y32" s="65"/>
    </row>
    <row r="33" spans="2:25">
      <c r="C33" s="141" t="s">
        <v>6</v>
      </c>
      <c r="D33" s="142">
        <f>'Resumen (G)'!E57+'Resumen (G)'!E62-SUM('TipoRecurso (G)'!D34:D35)</f>
        <v>49.008418000000006</v>
      </c>
      <c r="E33" s="143">
        <f>'Resumen (G)'!F57+'Resumen (G)'!F62-SUM('TipoRecurso (G)'!E34:E35)</f>
        <v>54.6413559975</v>
      </c>
      <c r="F33" s="144">
        <f t="shared" si="2"/>
        <v>0.11493817240744209</v>
      </c>
      <c r="G33" s="220">
        <f>'Resumen (G)'!H57+'Resumen (G)'!H62-SUM('TipoRecurso (G)'!G34:G35)</f>
        <v>562.23725400000012</v>
      </c>
      <c r="H33" s="143">
        <f>'Resumen (G)'!I57+'Resumen (G)'!I62-SUM('TipoRecurso (G)'!H34:H35)</f>
        <v>553.20154061750009</v>
      </c>
      <c r="I33" s="144">
        <f t="shared" si="3"/>
        <v>-1.6070997284893584E-2</v>
      </c>
      <c r="M33" s="42" t="s">
        <v>90</v>
      </c>
      <c r="N33" s="53">
        <f t="shared" ref="N33:O35" si="4">D33</f>
        <v>49.008418000000006</v>
      </c>
      <c r="O33" s="53">
        <f t="shared" si="4"/>
        <v>54.6413559975</v>
      </c>
      <c r="P33" s="53"/>
      <c r="Q33" s="53"/>
      <c r="R33" s="53"/>
      <c r="S33" s="53"/>
      <c r="T33" s="54"/>
      <c r="U33" s="54"/>
      <c r="V33" s="54"/>
      <c r="W33" s="54"/>
      <c r="X33" s="65"/>
      <c r="Y33" s="65"/>
    </row>
    <row r="34" spans="2:25">
      <c r="C34" s="141" t="s">
        <v>14</v>
      </c>
      <c r="D34" s="142">
        <f>'Resumen (G)'!E43</f>
        <v>144.47388100000001</v>
      </c>
      <c r="E34" s="143">
        <f>'Resumen (G)'!F43</f>
        <v>136.59295921250006</v>
      </c>
      <c r="F34" s="144">
        <f t="shared" si="2"/>
        <v>-5.4549111112339732E-2</v>
      </c>
      <c r="G34" s="220">
        <f>'Resumen (G)'!H43</f>
        <v>1822.5749889999997</v>
      </c>
      <c r="H34" s="143">
        <f>'Resumen (G)'!I43</f>
        <v>1931.3280319700004</v>
      </c>
      <c r="I34" s="144">
        <f t="shared" si="3"/>
        <v>5.9669996365784961E-2</v>
      </c>
      <c r="M34" s="42" t="s">
        <v>14</v>
      </c>
      <c r="N34" s="53">
        <f t="shared" si="4"/>
        <v>144.47388100000001</v>
      </c>
      <c r="O34" s="53">
        <f t="shared" si="4"/>
        <v>136.59295921250006</v>
      </c>
      <c r="P34" s="53"/>
      <c r="Q34" s="53"/>
      <c r="R34" s="53"/>
      <c r="S34" s="53"/>
      <c r="T34" s="54"/>
      <c r="U34" s="54"/>
      <c r="V34" s="54"/>
      <c r="W34" s="54"/>
      <c r="X34" s="65"/>
      <c r="Y34" s="65"/>
    </row>
    <row r="35" spans="2:25">
      <c r="C35" s="141" t="s">
        <v>5</v>
      </c>
      <c r="D35" s="142">
        <f>'Resumen (G)'!E44</f>
        <v>73.604771000000014</v>
      </c>
      <c r="E35" s="143">
        <f>'Resumen (G)'!F44</f>
        <v>72.762869109999954</v>
      </c>
      <c r="F35" s="144">
        <f t="shared" si="2"/>
        <v>-1.1438142916035399E-2</v>
      </c>
      <c r="G35" s="220">
        <f>'Resumen (G)'!H44</f>
        <v>801.697453</v>
      </c>
      <c r="H35" s="143">
        <f>'Resumen (G)'!I44</f>
        <v>821.43662360500002</v>
      </c>
      <c r="I35" s="144">
        <f t="shared" si="3"/>
        <v>2.4621720489612198E-2</v>
      </c>
      <c r="M35" s="42" t="s">
        <v>5</v>
      </c>
      <c r="N35" s="53">
        <f t="shared" si="4"/>
        <v>73.604771000000014</v>
      </c>
      <c r="O35" s="53">
        <f t="shared" si="4"/>
        <v>72.762869109999954</v>
      </c>
      <c r="P35" s="53"/>
      <c r="Q35" s="53"/>
      <c r="R35" s="53"/>
      <c r="S35" s="53"/>
      <c r="T35" s="54"/>
      <c r="U35" s="54"/>
      <c r="V35" s="54"/>
      <c r="W35" s="54"/>
      <c r="X35" s="65"/>
      <c r="Y35" s="65"/>
    </row>
    <row r="36" spans="2:25" ht="13.5" thickBot="1">
      <c r="C36" s="145" t="s">
        <v>125</v>
      </c>
      <c r="D36" s="310">
        <v>0.92155999999999993</v>
      </c>
      <c r="E36" s="311">
        <v>1.0651220000000001</v>
      </c>
      <c r="F36" s="146">
        <f t="shared" si="2"/>
        <v>0.15578150093320042</v>
      </c>
      <c r="G36" s="356">
        <v>22.116151000000002</v>
      </c>
      <c r="H36" s="357">
        <v>22.687407729672234</v>
      </c>
      <c r="I36" s="315">
        <f t="shared" si="3"/>
        <v>2.5829843975664346E-2</v>
      </c>
      <c r="N36" s="53">
        <f>SUM(N28:N35)</f>
        <v>4991.772775980141</v>
      </c>
      <c r="O36" s="53">
        <f>SUM(O28:O35)</f>
        <v>5288.6618881974719</v>
      </c>
      <c r="P36" s="53"/>
      <c r="Q36" s="53"/>
      <c r="R36" s="53"/>
      <c r="S36" s="53"/>
      <c r="T36" s="54"/>
      <c r="U36" s="54"/>
      <c r="V36" s="54"/>
      <c r="W36" s="54"/>
      <c r="X36" s="65"/>
      <c r="Y36" s="65"/>
    </row>
    <row r="37" spans="2:25" ht="15" customHeight="1" thickTop="1" thickBot="1">
      <c r="C37" s="259" t="s">
        <v>108</v>
      </c>
      <c r="D37" s="260">
        <f>SUM(D29:D36)</f>
        <v>4991.772775980141</v>
      </c>
      <c r="E37" s="261">
        <f>SUM(E29:E36)</f>
        <v>5288.6867180174722</v>
      </c>
      <c r="F37" s="262">
        <f t="shared" si="2"/>
        <v>5.9480660551307185E-2</v>
      </c>
      <c r="G37" s="263">
        <f>SUM(G29:G36)</f>
        <v>57397.015803761671</v>
      </c>
      <c r="H37" s="261">
        <f>SUM(H29:H36)</f>
        <v>59637.187474210397</v>
      </c>
      <c r="I37" s="264">
        <f t="shared" si="3"/>
        <v>3.9029410137066955E-2</v>
      </c>
      <c r="N37" s="53"/>
      <c r="O37" s="53"/>
      <c r="P37" s="53"/>
      <c r="Q37" s="53"/>
      <c r="R37" s="53"/>
      <c r="S37" s="53"/>
      <c r="T37" s="54"/>
      <c r="U37" s="54"/>
      <c r="V37" s="54"/>
      <c r="W37" s="54"/>
      <c r="X37" s="65"/>
      <c r="Y37" s="65"/>
    </row>
    <row r="38" spans="2:25">
      <c r="B38" s="9"/>
      <c r="C38" s="147"/>
      <c r="D38" s="147"/>
      <c r="E38" s="148"/>
      <c r="F38" s="149"/>
      <c r="G38" s="10"/>
      <c r="H38" s="10"/>
      <c r="I38" s="11"/>
      <c r="N38" s="53"/>
      <c r="O38" s="53"/>
      <c r="P38" s="53"/>
      <c r="Q38" s="53"/>
      <c r="R38" s="53"/>
      <c r="S38" s="53"/>
      <c r="T38" s="54"/>
      <c r="U38" s="54"/>
      <c r="V38" s="54"/>
      <c r="W38" s="54"/>
      <c r="X38" s="65"/>
      <c r="Y38" s="65"/>
    </row>
    <row r="39" spans="2:25">
      <c r="C39" s="15"/>
      <c r="D39" s="16"/>
      <c r="E39" s="16"/>
      <c r="G39" s="15"/>
      <c r="H39" s="16"/>
      <c r="I39" s="16"/>
      <c r="N39" s="53"/>
      <c r="O39" s="53"/>
      <c r="P39" s="53"/>
      <c r="Q39" s="53"/>
      <c r="R39" s="53"/>
      <c r="S39" s="53"/>
      <c r="T39" s="54"/>
      <c r="U39" s="54"/>
      <c r="V39" s="54"/>
      <c r="W39" s="54"/>
      <c r="X39" s="65"/>
      <c r="Y39" s="65"/>
    </row>
    <row r="40" spans="2:25">
      <c r="C40" s="8"/>
      <c r="D40" s="16"/>
      <c r="E40" s="16"/>
      <c r="G40" s="8"/>
      <c r="H40" s="16"/>
      <c r="I40" s="16"/>
      <c r="N40" s="53"/>
      <c r="O40" s="53"/>
      <c r="P40" s="53"/>
      <c r="Q40" s="53"/>
      <c r="R40" s="53"/>
      <c r="S40" s="53"/>
      <c r="T40" s="54"/>
      <c r="U40" s="54"/>
      <c r="V40" s="54"/>
      <c r="W40" s="54"/>
      <c r="X40" s="65"/>
      <c r="Y40" s="65"/>
    </row>
    <row r="41" spans="2:25">
      <c r="C41" s="15"/>
      <c r="D41" s="16"/>
      <c r="E41" s="16"/>
      <c r="G41" s="15"/>
      <c r="H41" s="16"/>
      <c r="I41" s="16"/>
      <c r="M41" s="197"/>
      <c r="N41" s="197"/>
      <c r="O41" s="53"/>
      <c r="P41" s="53"/>
      <c r="Q41" s="53"/>
      <c r="R41" s="53"/>
      <c r="S41" s="53"/>
      <c r="T41" s="54"/>
      <c r="U41" s="54"/>
      <c r="V41" s="54"/>
      <c r="W41" s="54"/>
      <c r="X41" s="65"/>
      <c r="Y41" s="65"/>
    </row>
    <row r="42" spans="2:25">
      <c r="C42" s="15"/>
      <c r="D42" s="16"/>
      <c r="E42" s="16"/>
      <c r="G42" s="15"/>
      <c r="H42" s="16"/>
      <c r="I42" s="16"/>
      <c r="M42" s="197">
        <f>N28/N$36</f>
        <v>0.61220869261220523</v>
      </c>
      <c r="N42" s="197">
        <f>O28/O$36</f>
        <v>0.40783141339039675</v>
      </c>
      <c r="O42" s="53"/>
      <c r="P42" s="53"/>
      <c r="Q42" s="53"/>
      <c r="R42" s="53"/>
      <c r="S42" s="53"/>
      <c r="T42" s="54"/>
      <c r="U42" s="54"/>
      <c r="V42" s="54"/>
      <c r="W42" s="54"/>
      <c r="X42" s="65"/>
      <c r="Y42" s="65"/>
    </row>
    <row r="43" spans="2:25">
      <c r="C43" s="15"/>
      <c r="D43" s="16"/>
      <c r="E43" s="16"/>
      <c r="G43" s="15"/>
      <c r="H43" s="16"/>
      <c r="I43" s="16"/>
      <c r="M43" s="197">
        <f>N29/N$36</f>
        <v>0.31751018107766232</v>
      </c>
      <c r="N43" s="197">
        <f>O29/O$36</f>
        <v>0.4937660907700846</v>
      </c>
      <c r="O43" s="53"/>
      <c r="P43" s="53"/>
      <c r="Q43" s="53"/>
      <c r="R43" s="53"/>
      <c r="S43" s="53"/>
      <c r="T43" s="54"/>
      <c r="U43" s="54"/>
      <c r="V43" s="54"/>
      <c r="W43" s="54"/>
      <c r="X43" s="65"/>
      <c r="Y43" s="65"/>
    </row>
    <row r="44" spans="2:25">
      <c r="C44" s="15"/>
      <c r="D44" s="16"/>
      <c r="E44" s="16"/>
      <c r="G44" s="15"/>
      <c r="H44" s="16"/>
      <c r="I44" s="16"/>
      <c r="M44" s="197">
        <f>N30/N$36</f>
        <v>1.659105626334911E-2</v>
      </c>
      <c r="N44" s="197">
        <f>O30/O$36</f>
        <v>4.8283522094660719E-2</v>
      </c>
      <c r="O44" s="53"/>
      <c r="P44" s="53"/>
      <c r="Q44" s="53"/>
      <c r="R44" s="53"/>
      <c r="S44" s="53"/>
      <c r="T44" s="54"/>
      <c r="U44" s="54"/>
      <c r="V44" s="54"/>
      <c r="W44" s="54"/>
      <c r="X44" s="65"/>
      <c r="Y44" s="65"/>
    </row>
    <row r="45" spans="2:25">
      <c r="C45" s="15"/>
      <c r="D45" s="16"/>
      <c r="E45" s="16"/>
      <c r="G45" s="15"/>
      <c r="H45" s="16"/>
      <c r="I45" s="16"/>
      <c r="M45" s="197">
        <f>N32/N$36</f>
        <v>1.8461577506781655E-4</v>
      </c>
      <c r="N45" s="197">
        <f>O32/O$36</f>
        <v>2.0139725747584601E-4</v>
      </c>
      <c r="O45" s="53"/>
      <c r="P45" s="53"/>
      <c r="Q45" s="53"/>
      <c r="R45" s="53"/>
      <c r="S45" s="53"/>
      <c r="T45" s="54"/>
      <c r="U45" s="54"/>
      <c r="V45" s="54"/>
      <c r="W45" s="54"/>
      <c r="X45" s="65"/>
      <c r="Y45" s="65"/>
    </row>
    <row r="46" spans="2:25">
      <c r="C46" s="15"/>
      <c r="D46" s="16"/>
      <c r="E46" s="16"/>
      <c r="G46" s="15"/>
      <c r="H46" s="16"/>
      <c r="I46" s="16"/>
      <c r="M46" s="197">
        <f>N33/N$36</f>
        <v>9.8178383110351288E-3</v>
      </c>
      <c r="N46" s="197">
        <f>O33/O$36</f>
        <v>1.033179226666792E-2</v>
      </c>
      <c r="O46" s="53"/>
      <c r="P46" s="53"/>
      <c r="Q46" s="53"/>
      <c r="R46" s="53"/>
      <c r="S46" s="53"/>
      <c r="T46" s="54"/>
      <c r="U46" s="54"/>
      <c r="V46" s="54"/>
      <c r="W46" s="54"/>
      <c r="X46" s="65"/>
      <c r="Y46" s="65"/>
    </row>
    <row r="47" spans="2:25">
      <c r="C47" s="15"/>
      <c r="D47" s="16"/>
      <c r="E47" s="16"/>
      <c r="G47" s="15"/>
      <c r="H47" s="16"/>
      <c r="I47" s="16"/>
      <c r="M47" s="197">
        <f>N34/N$36</f>
        <v>2.8942399320576521E-2</v>
      </c>
      <c r="N47" s="197">
        <f>O34/O$36</f>
        <v>2.5827508375479619E-2</v>
      </c>
      <c r="O47" s="53"/>
      <c r="P47" s="53"/>
      <c r="Q47" s="53"/>
      <c r="R47" s="53"/>
      <c r="S47" s="53"/>
      <c r="T47" s="54"/>
      <c r="U47" s="54"/>
      <c r="V47" s="54"/>
      <c r="W47" s="54"/>
      <c r="X47" s="65"/>
      <c r="Y47" s="65"/>
    </row>
    <row r="48" spans="2:25">
      <c r="C48" s="15"/>
      <c r="D48" s="16"/>
      <c r="E48" s="16"/>
      <c r="G48" s="15"/>
      <c r="H48" s="16"/>
      <c r="I48" s="16"/>
      <c r="M48" s="197">
        <f>N35/N$36</f>
        <v>1.4745216640103901E-2</v>
      </c>
      <c r="N48" s="197">
        <f>O35/O$36</f>
        <v>1.3758275845234575E-2</v>
      </c>
      <c r="O48" s="53"/>
      <c r="P48" s="53"/>
      <c r="Q48" s="53"/>
      <c r="R48" s="53"/>
      <c r="S48" s="53"/>
      <c r="T48" s="54"/>
      <c r="U48" s="54"/>
      <c r="V48" s="54"/>
      <c r="W48" s="54"/>
      <c r="X48" s="65"/>
      <c r="Y48" s="65"/>
    </row>
    <row r="49" spans="2:25">
      <c r="C49" s="15"/>
      <c r="D49" s="16"/>
      <c r="E49" s="16"/>
      <c r="G49" s="15"/>
      <c r="H49" s="16"/>
      <c r="I49" s="16"/>
      <c r="M49" s="197">
        <f>N36/N$36</f>
        <v>1</v>
      </c>
      <c r="N49" s="197">
        <f>O36/O$36</f>
        <v>1</v>
      </c>
      <c r="O49" s="53"/>
      <c r="P49" s="53"/>
      <c r="Q49" s="53"/>
      <c r="R49" s="53"/>
      <c r="S49" s="53"/>
      <c r="T49" s="54"/>
      <c r="U49" s="54"/>
      <c r="V49" s="54"/>
      <c r="W49" s="54"/>
      <c r="X49" s="65"/>
      <c r="Y49" s="65"/>
    </row>
    <row r="50" spans="2:25">
      <c r="C50" s="15"/>
      <c r="D50" s="16"/>
      <c r="E50" s="16"/>
      <c r="G50" s="15"/>
      <c r="H50" s="16"/>
      <c r="I50" s="16"/>
      <c r="N50" s="53"/>
      <c r="O50" s="53"/>
      <c r="P50" s="53"/>
      <c r="Q50" s="53"/>
      <c r="R50" s="53"/>
      <c r="S50" s="53"/>
      <c r="T50" s="54"/>
      <c r="U50" s="54"/>
      <c r="V50" s="54"/>
      <c r="W50" s="54"/>
      <c r="X50" s="65"/>
      <c r="Y50" s="65"/>
    </row>
    <row r="51" spans="2:25" ht="15">
      <c r="B51" s="12" t="s">
        <v>100</v>
      </c>
      <c r="D51" s="16"/>
      <c r="E51" s="16"/>
      <c r="F51" s="16"/>
      <c r="G51" s="16"/>
      <c r="H51" s="16"/>
      <c r="I51" s="16"/>
      <c r="M51" s="198">
        <f>SUM(M41:M48)</f>
        <v>1</v>
      </c>
      <c r="N51" s="198">
        <f>SUM(N41:N48)</f>
        <v>1</v>
      </c>
      <c r="O51" s="53"/>
      <c r="P51" s="53"/>
      <c r="Q51" s="53"/>
      <c r="R51" s="53"/>
      <c r="S51" s="53"/>
      <c r="T51" s="54"/>
      <c r="U51" s="54"/>
      <c r="V51" s="54"/>
      <c r="W51" s="54"/>
      <c r="X51" s="65"/>
      <c r="Y51" s="65"/>
    </row>
    <row r="52" spans="2:25">
      <c r="C52" s="15"/>
      <c r="D52" s="16"/>
      <c r="E52" s="16"/>
      <c r="F52" s="16"/>
      <c r="G52" s="16"/>
      <c r="H52" s="16"/>
      <c r="I52" s="16"/>
      <c r="N52" s="53"/>
      <c r="O52" s="53"/>
      <c r="P52" s="53"/>
      <c r="Q52" s="53"/>
      <c r="R52" s="53"/>
      <c r="S52" s="53"/>
      <c r="T52" s="54"/>
      <c r="U52" s="54"/>
      <c r="V52" s="54"/>
      <c r="W52" s="54"/>
      <c r="X52" s="65"/>
      <c r="Y52" s="65"/>
    </row>
    <row r="53" spans="2:25">
      <c r="C53" s="5" t="s">
        <v>122</v>
      </c>
      <c r="D53" s="16"/>
      <c r="E53" s="16"/>
      <c r="F53" s="16"/>
      <c r="G53" s="16"/>
      <c r="H53" s="16"/>
      <c r="I53" s="16"/>
      <c r="N53" s="53"/>
      <c r="O53" s="53"/>
      <c r="P53" s="53"/>
      <c r="Q53" s="53"/>
      <c r="R53" s="53"/>
      <c r="S53" s="53"/>
      <c r="T53" s="54"/>
      <c r="U53" s="54"/>
      <c r="V53" s="54"/>
      <c r="W53" s="54"/>
      <c r="X53" s="65"/>
      <c r="Y53" s="65"/>
    </row>
    <row r="54" spans="2:25" ht="13.5" thickBot="1">
      <c r="C54" s="5"/>
      <c r="D54" s="16"/>
      <c r="E54" s="16"/>
      <c r="F54" s="16"/>
      <c r="G54" s="16"/>
      <c r="H54" s="16"/>
      <c r="I54" s="16"/>
      <c r="N54" s="53"/>
      <c r="O54" s="53"/>
      <c r="P54" s="53"/>
      <c r="Q54" s="53"/>
      <c r="R54" s="53"/>
      <c r="S54" s="53"/>
      <c r="T54" s="53"/>
      <c r="U54" s="53"/>
      <c r="V54" s="56"/>
    </row>
    <row r="55" spans="2:25" ht="15">
      <c r="C55" s="337" t="s">
        <v>91</v>
      </c>
      <c r="D55" s="339" t="s">
        <v>127</v>
      </c>
      <c r="E55" s="339"/>
      <c r="F55" s="340" t="s">
        <v>74</v>
      </c>
      <c r="G55" s="342" t="s">
        <v>128</v>
      </c>
      <c r="H55" s="343"/>
      <c r="I55" s="340" t="s">
        <v>74</v>
      </c>
      <c r="N55" s="53"/>
      <c r="O55" s="53"/>
      <c r="P55" s="53"/>
      <c r="Q55" s="53"/>
      <c r="R55" s="53"/>
      <c r="S55" s="53"/>
      <c r="T55" s="53"/>
      <c r="U55" s="53"/>
      <c r="V55" s="56"/>
    </row>
    <row r="56" spans="2:25">
      <c r="C56" s="338"/>
      <c r="D56" s="75">
        <v>2021</v>
      </c>
      <c r="E56" s="76">
        <v>2022</v>
      </c>
      <c r="F56" s="341"/>
      <c r="G56" s="206">
        <v>2021</v>
      </c>
      <c r="H56" s="76">
        <v>2022</v>
      </c>
      <c r="I56" s="341"/>
      <c r="N56" s="53"/>
      <c r="O56" s="53"/>
      <c r="P56" s="53"/>
      <c r="Q56" s="53"/>
      <c r="R56" s="53"/>
      <c r="S56" s="53"/>
      <c r="T56" s="53"/>
      <c r="U56" s="53"/>
      <c r="V56" s="56"/>
    </row>
    <row r="57" spans="2:25" ht="24.75" customHeight="1">
      <c r="C57" s="250" t="s">
        <v>42</v>
      </c>
      <c r="D57" s="251">
        <f>SUM(D29:D32,D36)</f>
        <v>4724.6857059801405</v>
      </c>
      <c r="E57" s="252">
        <f>SUM(E29:E32,E36)</f>
        <v>5024.6895336974721</v>
      </c>
      <c r="F57" s="253">
        <f>+E57/D57-1</f>
        <v>6.3497097243444101E-2</v>
      </c>
      <c r="G57" s="254">
        <f>SUM(G29:G32,G36)</f>
        <v>54210.50610776167</v>
      </c>
      <c r="H57" s="252">
        <f>SUM(H29:H32,H36)</f>
        <v>56331.221278017903</v>
      </c>
      <c r="I57" s="253">
        <f>+H57/G57-1</f>
        <v>3.9120003160284078E-2</v>
      </c>
      <c r="M57" s="51"/>
      <c r="N57" s="55"/>
      <c r="O57" s="55"/>
      <c r="P57" s="55"/>
      <c r="Q57" s="55"/>
      <c r="R57" s="55"/>
      <c r="S57" s="55"/>
      <c r="T57" s="53"/>
      <c r="U57" s="53"/>
    </row>
    <row r="58" spans="2:25" ht="24.75" thickBot="1">
      <c r="C58" s="255" t="s">
        <v>104</v>
      </c>
      <c r="D58" s="301">
        <f>SUM(D33:D35)</f>
        <v>267.08707000000004</v>
      </c>
      <c r="E58" s="256">
        <f>SUM(E33:E35)</f>
        <v>263.99718432000003</v>
      </c>
      <c r="F58" s="302">
        <f>+E58/D58-1</f>
        <v>-1.1568832890338054E-2</v>
      </c>
      <c r="G58" s="307">
        <f>SUM(G33:G35)</f>
        <v>3186.5096960000001</v>
      </c>
      <c r="H58" s="256">
        <f>SUM(H33:H35)</f>
        <v>3305.9661961925003</v>
      </c>
      <c r="I58" s="308">
        <f>+H58/G58-1</f>
        <v>3.74881960479998E-2</v>
      </c>
      <c r="N58" s="53"/>
      <c r="O58" s="53"/>
      <c r="P58" s="53"/>
      <c r="Q58" s="53"/>
      <c r="R58" s="53"/>
      <c r="S58" s="53"/>
      <c r="T58" s="53"/>
      <c r="U58" s="53"/>
    </row>
    <row r="59" spans="2:25">
      <c r="C59" s="90" t="s">
        <v>71</v>
      </c>
      <c r="D59" s="78">
        <f>SUM(D57:D58)</f>
        <v>4991.7727759801401</v>
      </c>
      <c r="E59" s="79">
        <f>SUM(E57:E58)</f>
        <v>5288.6867180174722</v>
      </c>
      <c r="F59" s="80">
        <f>+E59/D59-1</f>
        <v>5.9480660551307407E-2</v>
      </c>
      <c r="G59" s="221">
        <f>SUM(G57:G58)</f>
        <v>57397.015803761671</v>
      </c>
      <c r="H59" s="79">
        <f>SUM(H57:H58)</f>
        <v>59637.187474210405</v>
      </c>
      <c r="I59" s="80">
        <f>+H59/G59-1</f>
        <v>3.9029410137066955E-2</v>
      </c>
      <c r="N59" s="57"/>
      <c r="O59" s="57"/>
      <c r="P59" s="57"/>
      <c r="Q59" s="57"/>
      <c r="R59" s="57"/>
      <c r="S59" s="57"/>
      <c r="T59" s="57"/>
      <c r="U59" s="57"/>
    </row>
    <row r="60" spans="2:25" ht="13.5" thickBot="1">
      <c r="C60" s="103" t="s">
        <v>8</v>
      </c>
      <c r="D60" s="81">
        <f>+D58/D59</f>
        <v>5.3505454271715561E-2</v>
      </c>
      <c r="E60" s="82">
        <f>+E58/E59</f>
        <v>4.9917342129685183E-2</v>
      </c>
      <c r="F60" s="83"/>
      <c r="G60" s="222">
        <f>+G58/G59</f>
        <v>5.5516992501745417E-2</v>
      </c>
      <c r="H60" s="82">
        <f>+H58/H59</f>
        <v>5.5434642983828462E-2</v>
      </c>
      <c r="I60" s="83"/>
      <c r="N60" s="57"/>
      <c r="O60" s="57"/>
      <c r="P60" s="57"/>
      <c r="Q60" s="57"/>
      <c r="R60" s="57"/>
      <c r="S60" s="57"/>
      <c r="T60" s="57"/>
      <c r="U60" s="57"/>
    </row>
    <row r="61" spans="2:25">
      <c r="C61" s="228" t="s">
        <v>105</v>
      </c>
      <c r="D61" s="101"/>
      <c r="E61" s="101"/>
      <c r="F61" s="102"/>
      <c r="G61" s="16"/>
      <c r="H61" s="16"/>
      <c r="I61" s="16"/>
      <c r="N61" s="57"/>
      <c r="O61" s="57"/>
      <c r="P61" s="57"/>
      <c r="Q61" s="57"/>
      <c r="R61" s="57"/>
      <c r="S61" s="57"/>
      <c r="T61" s="57"/>
      <c r="U61" s="57"/>
    </row>
    <row r="62" spans="2:25">
      <c r="C62" s="15"/>
      <c r="D62" s="16"/>
      <c r="E62" s="16"/>
      <c r="F62" s="16"/>
      <c r="G62" s="16"/>
      <c r="H62" s="16"/>
      <c r="I62" s="16"/>
      <c r="K62" s="58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2:25">
      <c r="K63" s="58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2:25">
      <c r="K64" s="58"/>
      <c r="L64" s="42"/>
      <c r="P64" s="59"/>
      <c r="Q64" s="59"/>
      <c r="R64" s="59"/>
      <c r="S64" s="59"/>
      <c r="T64" s="59"/>
      <c r="U64" s="59"/>
      <c r="V64" s="59"/>
    </row>
    <row r="65" spans="2:24" ht="25.5">
      <c r="L65" s="68" t="s">
        <v>57</v>
      </c>
      <c r="M65" s="59">
        <f>D57</f>
        <v>4724.6857059801405</v>
      </c>
      <c r="N65" s="59">
        <f>E57</f>
        <v>5024.6895336974721</v>
      </c>
      <c r="O65" s="67">
        <v>4.4847805250167516E-2</v>
      </c>
      <c r="P65" s="60"/>
      <c r="Q65" s="60"/>
      <c r="R65" s="60"/>
      <c r="S65" s="60"/>
      <c r="T65" s="60"/>
    </row>
    <row r="66" spans="2:24" ht="38.25">
      <c r="K66" s="58"/>
      <c r="L66" s="68" t="s">
        <v>58</v>
      </c>
      <c r="M66" s="59">
        <f>D58</f>
        <v>267.08707000000004</v>
      </c>
      <c r="N66" s="59">
        <f>E58</f>
        <v>263.99718432000003</v>
      </c>
      <c r="O66" s="67">
        <v>0.12281081992035348</v>
      </c>
      <c r="P66" s="59"/>
      <c r="Q66" s="59"/>
      <c r="R66" s="59"/>
      <c r="S66" s="59"/>
      <c r="T66" s="59"/>
      <c r="U66" s="59"/>
      <c r="V66" s="59"/>
      <c r="W66" s="59"/>
      <c r="X66" s="59"/>
    </row>
    <row r="67" spans="2:24">
      <c r="K67" s="58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2:24">
      <c r="K68" s="58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2:24">
      <c r="K69" s="58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2:24" ht="26.25" customHeight="1"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2:24" ht="24.75" customHeight="1"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2:24">
      <c r="M72" s="51"/>
      <c r="N72" s="55"/>
      <c r="O72" s="55"/>
      <c r="P72" s="55"/>
      <c r="Q72" s="55"/>
      <c r="R72" s="55"/>
      <c r="S72" s="55"/>
      <c r="T72" s="55"/>
      <c r="U72" s="55"/>
      <c r="V72" s="53"/>
    </row>
    <row r="73" spans="2:24">
      <c r="C73" s="228" t="s">
        <v>105</v>
      </c>
      <c r="M73" s="51"/>
      <c r="N73" s="61"/>
      <c r="O73" s="61"/>
      <c r="P73" s="61"/>
      <c r="Q73" s="61"/>
      <c r="R73" s="61"/>
      <c r="S73" s="61"/>
      <c r="T73" s="61"/>
      <c r="U73" s="61"/>
      <c r="V73" s="62"/>
    </row>
    <row r="74" spans="2:24" ht="15">
      <c r="B74" s="12" t="s">
        <v>115</v>
      </c>
    </row>
    <row r="75" spans="2:24" ht="15">
      <c r="B75" s="12"/>
    </row>
    <row r="76" spans="2:24" ht="15">
      <c r="B76" s="12"/>
      <c r="C76" s="5" t="s">
        <v>123</v>
      </c>
    </row>
    <row r="77" spans="2:24" ht="13.5" thickBot="1">
      <c r="N77" s="42">
        <v>2021</v>
      </c>
      <c r="O77" s="42">
        <v>2022</v>
      </c>
    </row>
    <row r="78" spans="2:24" ht="15" customHeight="1">
      <c r="C78" s="274"/>
      <c r="D78" s="339" t="s">
        <v>127</v>
      </c>
      <c r="E78" s="339"/>
      <c r="F78" s="84" t="s">
        <v>74</v>
      </c>
      <c r="G78" s="342" t="s">
        <v>128</v>
      </c>
      <c r="H78" s="343"/>
      <c r="I78" s="84" t="s">
        <v>74</v>
      </c>
      <c r="M78" s="42" t="s">
        <v>96</v>
      </c>
      <c r="N78" s="53">
        <f>D80</f>
        <v>58.16661087249998</v>
      </c>
      <c r="O78" s="53">
        <f>E80</f>
        <v>48.477464734999984</v>
      </c>
    </row>
    <row r="79" spans="2:24" ht="12.75" customHeight="1">
      <c r="C79" s="299" t="s">
        <v>95</v>
      </c>
      <c r="D79" s="300">
        <v>2021</v>
      </c>
      <c r="E79" s="76">
        <v>2022</v>
      </c>
      <c r="F79" s="85"/>
      <c r="G79" s="293">
        <v>2021</v>
      </c>
      <c r="H79" s="76">
        <v>2022</v>
      </c>
      <c r="I79" s="85"/>
      <c r="M79" s="42" t="s">
        <v>97</v>
      </c>
      <c r="N79" s="53">
        <f>D81</f>
        <v>4759.819597127499</v>
      </c>
      <c r="O79" s="53">
        <f>E81</f>
        <v>5086.1637142750005</v>
      </c>
    </row>
    <row r="80" spans="2:24" ht="12.75" customHeight="1">
      <c r="C80" s="110" t="s">
        <v>96</v>
      </c>
      <c r="D80" s="113">
        <v>58.16661087249998</v>
      </c>
      <c r="E80" s="298">
        <v>48.477464734999984</v>
      </c>
      <c r="F80" s="130">
        <f>((E80/D80)-1)</f>
        <v>-0.16657573807658155</v>
      </c>
      <c r="G80" s="203">
        <v>86.455317049999962</v>
      </c>
      <c r="H80" s="298">
        <v>327.0636648075</v>
      </c>
      <c r="I80" s="130">
        <f>((H80/G80)-1)</f>
        <v>2.7830370180511661</v>
      </c>
      <c r="K80" s="54"/>
    </row>
    <row r="81" spans="3:15" ht="16.5" customHeight="1" thickBot="1">
      <c r="C81" s="115" t="s">
        <v>97</v>
      </c>
      <c r="D81" s="118">
        <f>'Resumen (G)'!E40-D80</f>
        <v>4759.819597127499</v>
      </c>
      <c r="E81" s="281">
        <f>'Resumen (G)'!F40-E80</f>
        <v>5086.1637142750005</v>
      </c>
      <c r="F81" s="133">
        <f>((E81/D81)-1)</f>
        <v>6.85622869708018E-2</v>
      </c>
      <c r="G81" s="204">
        <f>'Resumen (G)'!H40-G80</f>
        <v>55451.300560949996</v>
      </c>
      <c r="H81" s="281">
        <f>'Resumen (G)'!I40-H80</f>
        <v>57470.706919136122</v>
      </c>
      <c r="I81" s="133">
        <f>((H81/G81)-1)</f>
        <v>3.6417655451858488E-2</v>
      </c>
      <c r="M81" s="53"/>
      <c r="N81" s="53"/>
      <c r="O81" s="53"/>
    </row>
    <row r="82" spans="3:15" ht="14.25" thickTop="1" thickBot="1">
      <c r="C82" s="104" t="s">
        <v>94</v>
      </c>
      <c r="D82" s="199">
        <f>SUM(D80:D81)</f>
        <v>4817.9862079999994</v>
      </c>
      <c r="E82" s="282">
        <f>SUM(E80:E81)</f>
        <v>5134.6411790100001</v>
      </c>
      <c r="F82" s="105"/>
      <c r="G82" s="223">
        <f>SUM(G80:G81)</f>
        <v>55537.755877999996</v>
      </c>
      <c r="H82" s="282">
        <f>SUM(H80:H81)</f>
        <v>57797.770583943624</v>
      </c>
      <c r="I82" s="105"/>
      <c r="N82" s="53"/>
      <c r="O82" s="53"/>
    </row>
    <row r="83" spans="3:15">
      <c r="C83" s="72"/>
      <c r="D83" s="36"/>
      <c r="E83" s="36"/>
      <c r="F83" s="73"/>
    </row>
  </sheetData>
  <mergeCells count="11">
    <mergeCell ref="G27:H27"/>
    <mergeCell ref="I27:I28"/>
    <mergeCell ref="G55:H55"/>
    <mergeCell ref="I55:I56"/>
    <mergeCell ref="G78:H78"/>
    <mergeCell ref="C55:C56"/>
    <mergeCell ref="D78:E78"/>
    <mergeCell ref="D27:E27"/>
    <mergeCell ref="F27:F28"/>
    <mergeCell ref="D55:E55"/>
    <mergeCell ref="F55:F5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65"/>
  <sheetViews>
    <sheetView view="pageBreakPreview" zoomScale="90" zoomScaleNormal="100" zoomScaleSheetLayoutView="90" workbookViewId="0">
      <selection activeCell="C54" sqref="C54:H60"/>
    </sheetView>
  </sheetViews>
  <sheetFormatPr baseColWidth="10" defaultColWidth="11.42578125" defaultRowHeight="12.75"/>
  <cols>
    <col min="1" max="1" width="5.42578125" customWidth="1"/>
    <col min="2" max="2" width="3.85546875" customWidth="1"/>
    <col min="3" max="3" width="27.85546875" customWidth="1"/>
    <col min="4" max="5" width="11.7109375" customWidth="1"/>
    <col min="6" max="6" width="9.7109375" customWidth="1"/>
    <col min="7" max="7" width="13" customWidth="1"/>
    <col min="8" max="8" width="13.140625" customWidth="1"/>
    <col min="9" max="9" width="9.5703125" customWidth="1"/>
    <col min="10" max="10" width="3.7109375" customWidth="1"/>
    <col min="11" max="11" width="9" customWidth="1"/>
    <col min="13" max="13" width="19.140625" customWidth="1"/>
    <col min="14" max="14" width="8.28515625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3:13" ht="15">
      <c r="C2" s="12" t="s">
        <v>92</v>
      </c>
      <c r="D2" s="2"/>
      <c r="E2" s="12"/>
      <c r="F2" s="12"/>
      <c r="G2" s="12"/>
      <c r="H2" s="12"/>
      <c r="I2" s="12"/>
      <c r="J2" s="12"/>
    </row>
    <row r="3" spans="3:13" ht="15">
      <c r="C3" s="13"/>
      <c r="D3" s="2"/>
      <c r="E3" s="13"/>
      <c r="F3" s="13"/>
      <c r="G3" s="13"/>
      <c r="H3" s="13"/>
      <c r="I3" s="13"/>
      <c r="J3" s="13"/>
    </row>
    <row r="4" spans="3:13" ht="15">
      <c r="C4" s="12" t="s">
        <v>124</v>
      </c>
      <c r="D4" s="2"/>
      <c r="E4" s="12"/>
      <c r="F4" s="12"/>
      <c r="G4" s="12"/>
      <c r="H4" s="12"/>
      <c r="I4" s="12"/>
      <c r="J4" s="12"/>
    </row>
    <row r="6" spans="3:13">
      <c r="C6" s="5" t="s">
        <v>132</v>
      </c>
    </row>
    <row r="7" spans="3:13" ht="6" customHeight="1" thickBot="1">
      <c r="C7" s="70"/>
      <c r="D7" s="71"/>
      <c r="E7" s="71"/>
      <c r="F7" s="71"/>
      <c r="G7" s="16"/>
      <c r="H7" s="16"/>
      <c r="I7" s="16"/>
      <c r="J7" s="16"/>
    </row>
    <row r="8" spans="3:13" ht="13.5" customHeight="1">
      <c r="C8" s="178" t="s">
        <v>44</v>
      </c>
      <c r="D8" s="351" t="s">
        <v>127</v>
      </c>
      <c r="E8" s="352"/>
      <c r="F8" s="340" t="s">
        <v>74</v>
      </c>
      <c r="G8" s="342" t="s">
        <v>128</v>
      </c>
      <c r="H8" s="343"/>
      <c r="I8" s="340" t="s">
        <v>74</v>
      </c>
      <c r="J8" s="16"/>
    </row>
    <row r="9" spans="3:13" ht="13.5" customHeight="1">
      <c r="C9" s="179"/>
      <c r="D9" s="88">
        <v>2021</v>
      </c>
      <c r="E9" s="76">
        <v>2022</v>
      </c>
      <c r="F9" s="341"/>
      <c r="G9" s="293">
        <v>2021</v>
      </c>
      <c r="H9" s="76">
        <v>2022</v>
      </c>
      <c r="I9" s="341"/>
      <c r="J9" s="16"/>
    </row>
    <row r="10" spans="3:13">
      <c r="C10" s="166" t="s">
        <v>10</v>
      </c>
      <c r="D10" s="167">
        <f>'Por Región (G)'!O8</f>
        <v>356.91009600000001</v>
      </c>
      <c r="E10" s="168">
        <f>'Por Región (G)'!P8</f>
        <v>284.78102153983298</v>
      </c>
      <c r="F10" s="169">
        <f>+E10/D10-1</f>
        <v>-0.20209311887934667</v>
      </c>
      <c r="G10" s="289">
        <f>'Por Región (G)'!Q8</f>
        <v>3829.9579859999999</v>
      </c>
      <c r="H10" s="168">
        <f>'Por Región (G)'!R8</f>
        <v>3779.6352219095365</v>
      </c>
      <c r="I10" s="169">
        <f>+H10/G10-1</f>
        <v>-1.3139247029448575E-2</v>
      </c>
      <c r="J10" s="16"/>
      <c r="L10" s="41" t="s">
        <v>9</v>
      </c>
      <c r="M10" s="200">
        <f>E11</f>
        <v>4222.4636619299999</v>
      </c>
    </row>
    <row r="11" spans="3:13">
      <c r="C11" s="170" t="s">
        <v>9</v>
      </c>
      <c r="D11" s="171">
        <f>'Por Región (G)'!O9</f>
        <v>3989.5914669999997</v>
      </c>
      <c r="E11" s="172">
        <f>'Por Región (G)'!P9</f>
        <v>4222.4636619299999</v>
      </c>
      <c r="F11" s="173">
        <f>+E11/D11-1</f>
        <v>5.8369935081375557E-2</v>
      </c>
      <c r="G11" s="290">
        <f>'Por Región (G)'!Q9</f>
        <v>46238.766788000001</v>
      </c>
      <c r="H11" s="172">
        <f>'Por Región (G)'!R9</f>
        <v>48187.506919989471</v>
      </c>
      <c r="I11" s="173">
        <f>+H11/G11-1</f>
        <v>4.2145157999655236E-2</v>
      </c>
      <c r="J11" s="16"/>
      <c r="L11" s="41" t="s">
        <v>12</v>
      </c>
      <c r="M11" s="200">
        <f>E12</f>
        <v>744.24253574750003</v>
      </c>
    </row>
    <row r="12" spans="3:13">
      <c r="C12" s="170" t="s">
        <v>12</v>
      </c>
      <c r="D12" s="171">
        <f>'Por Región (G)'!O10</f>
        <v>608.92858799999988</v>
      </c>
      <c r="E12" s="172">
        <f>'Por Región (G)'!P10</f>
        <v>744.24253574750003</v>
      </c>
      <c r="F12" s="173">
        <f>+E12/D12-1</f>
        <v>0.22221644773147053</v>
      </c>
      <c r="G12" s="290">
        <f>'Por Región (G)'!Q10</f>
        <v>6915.9477129999996</v>
      </c>
      <c r="H12" s="172">
        <f>'Por Región (G)'!R10</f>
        <v>7248.3585677297206</v>
      </c>
      <c r="I12" s="173">
        <f>+H12/G12-1</f>
        <v>4.8064396742746318E-2</v>
      </c>
      <c r="J12" s="16"/>
      <c r="L12" s="41" t="s">
        <v>10</v>
      </c>
      <c r="M12" s="200">
        <f>E10</f>
        <v>284.78102153983298</v>
      </c>
    </row>
    <row r="13" spans="3:13">
      <c r="C13" s="174" t="s">
        <v>11</v>
      </c>
      <c r="D13" s="175">
        <f>'Por Región (G)'!O11</f>
        <v>36.342624000000008</v>
      </c>
      <c r="E13" s="176">
        <f>'Por Región (G)'!P11</f>
        <v>37.17466799999999</v>
      </c>
      <c r="F13" s="177">
        <f>+E13/D13-1</f>
        <v>2.2894439322817872E-2</v>
      </c>
      <c r="G13" s="291">
        <f>'Por Región (G)'!Q11</f>
        <v>412.34330500000004</v>
      </c>
      <c r="H13" s="176">
        <f>'Por Región (G)'!R11</f>
        <v>421.661923</v>
      </c>
      <c r="I13" s="177">
        <f>+H13/G13-1</f>
        <v>2.2599173763716118E-2</v>
      </c>
      <c r="J13" s="16"/>
      <c r="L13" s="41" t="s">
        <v>11</v>
      </c>
      <c r="M13" s="200">
        <f>E13</f>
        <v>37.17466799999999</v>
      </c>
    </row>
    <row r="14" spans="3:13" ht="13.5" thickBot="1">
      <c r="C14" s="180" t="s">
        <v>108</v>
      </c>
      <c r="D14" s="181">
        <f>SUM(D10:D13)</f>
        <v>4991.7727749999995</v>
      </c>
      <c r="E14" s="182">
        <f>SUM(E10:E13)</f>
        <v>5288.6618872173331</v>
      </c>
      <c r="F14" s="183">
        <f>+E14/D14-1</f>
        <v>5.9475686414298679E-2</v>
      </c>
      <c r="G14" s="292">
        <f>SUM(G10:G13)</f>
        <v>57397.015792000006</v>
      </c>
      <c r="H14" s="182">
        <f>SUM(H10:H13)</f>
        <v>59637.16263262873</v>
      </c>
      <c r="I14" s="183">
        <f>+H14/G14-1</f>
        <v>3.9028977547312715E-2</v>
      </c>
      <c r="J14" s="16"/>
    </row>
    <row r="15" spans="3:13">
      <c r="C15" s="15"/>
      <c r="D15" s="16"/>
      <c r="E15" s="16"/>
      <c r="F15" s="16"/>
      <c r="G15" s="16"/>
      <c r="H15" s="16"/>
      <c r="I15" s="16"/>
      <c r="J15" s="16"/>
    </row>
    <row r="16" spans="3:13" ht="15">
      <c r="C16" s="12" t="s">
        <v>134</v>
      </c>
      <c r="D16" s="16"/>
      <c r="E16" s="16"/>
      <c r="F16" s="16"/>
      <c r="G16" s="16"/>
      <c r="H16" s="16"/>
      <c r="I16" s="16"/>
      <c r="J16" s="16"/>
    </row>
    <row r="17" spans="3:18">
      <c r="D17" s="16"/>
      <c r="E17" s="16"/>
      <c r="F17" s="16"/>
      <c r="G17" s="16"/>
      <c r="H17" s="16"/>
      <c r="I17" s="16"/>
      <c r="J17" s="16"/>
    </row>
    <row r="18" spans="3:18" ht="33" customHeight="1">
      <c r="C18" s="348" t="s">
        <v>93</v>
      </c>
      <c r="D18" s="348"/>
      <c r="E18" s="348"/>
      <c r="F18" s="348"/>
      <c r="G18" s="349" t="s">
        <v>107</v>
      </c>
      <c r="H18" s="350"/>
      <c r="I18" s="350"/>
      <c r="J18" s="350"/>
    </row>
    <row r="19" spans="3:18">
      <c r="C19" s="15"/>
      <c r="D19" s="16"/>
      <c r="E19" s="16"/>
      <c r="F19" s="16"/>
      <c r="G19" s="16"/>
      <c r="H19" s="16"/>
      <c r="I19" s="16"/>
      <c r="J19" s="16"/>
    </row>
    <row r="20" spans="3:18" ht="13.5" thickBot="1">
      <c r="J20" s="16"/>
    </row>
    <row r="21" spans="3:18">
      <c r="J21" s="16"/>
      <c r="Q21" s="6" t="s">
        <v>44</v>
      </c>
      <c r="R21" s="6" t="s">
        <v>43</v>
      </c>
    </row>
    <row r="22" spans="3:18">
      <c r="J22" s="16"/>
      <c r="Q22" s="18" t="s">
        <v>10</v>
      </c>
      <c r="R22" t="s">
        <v>17</v>
      </c>
    </row>
    <row r="23" spans="3:18">
      <c r="J23" s="16"/>
      <c r="Q23" s="18" t="s">
        <v>10</v>
      </c>
      <c r="R23" t="s">
        <v>22</v>
      </c>
    </row>
    <row r="24" spans="3:18">
      <c r="J24" s="16"/>
      <c r="Q24" s="18" t="s">
        <v>10</v>
      </c>
      <c r="R24" t="s">
        <v>28</v>
      </c>
    </row>
    <row r="25" spans="3:18">
      <c r="J25" s="16"/>
      <c r="Q25" s="18" t="s">
        <v>10</v>
      </c>
      <c r="R25" t="s">
        <v>29</v>
      </c>
    </row>
    <row r="26" spans="3:18">
      <c r="J26" s="16"/>
      <c r="Q26" s="18" t="s">
        <v>10</v>
      </c>
      <c r="R26" t="s">
        <v>35</v>
      </c>
    </row>
    <row r="27" spans="3:18">
      <c r="C27" s="15"/>
      <c r="D27" s="16"/>
      <c r="E27" s="16"/>
      <c r="F27" s="16"/>
      <c r="G27" s="16"/>
      <c r="J27" s="16"/>
      <c r="Q27" s="18" t="s">
        <v>10</v>
      </c>
      <c r="R27" t="s">
        <v>37</v>
      </c>
    </row>
    <row r="28" spans="3:18">
      <c r="C28" s="15"/>
      <c r="D28" s="16"/>
      <c r="E28" s="16"/>
      <c r="F28" s="16"/>
      <c r="G28" s="16"/>
      <c r="J28" s="16"/>
      <c r="Q28" s="19" t="s">
        <v>10</v>
      </c>
      <c r="R28" s="20" t="s">
        <v>39</v>
      </c>
    </row>
    <row r="29" spans="3:18">
      <c r="C29" s="15"/>
      <c r="D29" s="16"/>
      <c r="E29" s="16"/>
      <c r="F29" s="16"/>
      <c r="G29" s="16"/>
      <c r="J29" s="16"/>
      <c r="Q29" s="21" t="s">
        <v>9</v>
      </c>
      <c r="R29" t="s">
        <v>18</v>
      </c>
    </row>
    <row r="30" spans="3:18" ht="15.75" customHeight="1">
      <c r="C30" s="15"/>
      <c r="D30" s="16"/>
      <c r="E30" s="16"/>
      <c r="F30" s="16"/>
      <c r="G30" s="16"/>
      <c r="J30" s="16"/>
      <c r="Q30" s="21" t="s">
        <v>9</v>
      </c>
      <c r="R30" t="s">
        <v>24</v>
      </c>
    </row>
    <row r="31" spans="3:18" ht="15" customHeight="1">
      <c r="C31" s="15"/>
      <c r="D31" s="16"/>
      <c r="E31" s="16"/>
      <c r="F31" s="16"/>
      <c r="G31" s="16"/>
      <c r="J31" s="16"/>
      <c r="Q31" s="21" t="s">
        <v>9</v>
      </c>
      <c r="R31" t="s">
        <v>25</v>
      </c>
    </row>
    <row r="32" spans="3:18">
      <c r="C32" s="15"/>
      <c r="D32" s="16"/>
      <c r="E32" s="16"/>
      <c r="F32" s="16"/>
      <c r="G32" s="16"/>
      <c r="J32" s="16"/>
      <c r="Q32" s="21" t="s">
        <v>9</v>
      </c>
      <c r="R32" t="s">
        <v>27</v>
      </c>
    </row>
    <row r="33" spans="3:18">
      <c r="C33" s="15"/>
      <c r="D33" s="16"/>
      <c r="E33" s="16"/>
      <c r="F33" s="16"/>
      <c r="G33" s="16"/>
      <c r="J33" s="16"/>
      <c r="Q33" s="21" t="s">
        <v>9</v>
      </c>
      <c r="R33" t="s">
        <v>30</v>
      </c>
    </row>
    <row r="34" spans="3:18">
      <c r="C34" s="15"/>
      <c r="D34" s="16"/>
      <c r="E34" s="16"/>
      <c r="F34" s="16"/>
      <c r="G34" s="16"/>
      <c r="J34" s="16"/>
      <c r="Q34" s="21" t="s">
        <v>9</v>
      </c>
      <c r="R34" t="s">
        <v>34</v>
      </c>
    </row>
    <row r="35" spans="3:18">
      <c r="C35" s="15"/>
      <c r="D35" s="16"/>
      <c r="E35" s="16"/>
      <c r="F35" s="16"/>
      <c r="G35" s="16"/>
      <c r="J35" s="16"/>
      <c r="Q35" s="22" t="s">
        <v>9</v>
      </c>
      <c r="R35" s="20" t="s">
        <v>40</v>
      </c>
    </row>
    <row r="36" spans="3:18">
      <c r="C36" s="15"/>
      <c r="D36" s="16"/>
      <c r="E36" s="16"/>
      <c r="F36" s="16"/>
      <c r="G36" s="16"/>
      <c r="J36" s="16"/>
      <c r="Q36" s="23" t="s">
        <v>12</v>
      </c>
      <c r="R36" t="s">
        <v>19</v>
      </c>
    </row>
    <row r="37" spans="3:18">
      <c r="C37" s="15"/>
      <c r="D37" s="16"/>
      <c r="E37" s="16"/>
      <c r="F37" s="16"/>
      <c r="G37" s="16"/>
      <c r="J37" s="16"/>
      <c r="Q37" s="23" t="s">
        <v>12</v>
      </c>
      <c r="R37" t="s">
        <v>20</v>
      </c>
    </row>
    <row r="38" spans="3:18">
      <c r="C38" s="15"/>
      <c r="D38" s="16"/>
      <c r="E38" s="16"/>
      <c r="F38" s="16"/>
      <c r="G38" s="16"/>
      <c r="J38" s="16"/>
      <c r="Q38" s="23" t="s">
        <v>12</v>
      </c>
      <c r="R38" t="s">
        <v>21</v>
      </c>
    </row>
    <row r="39" spans="3:18">
      <c r="C39" s="15"/>
      <c r="D39" s="16"/>
      <c r="E39" s="16"/>
      <c r="F39" s="16"/>
      <c r="G39" s="16"/>
      <c r="J39" s="16"/>
      <c r="Q39" s="23" t="s">
        <v>12</v>
      </c>
      <c r="R39" t="s">
        <v>23</v>
      </c>
    </row>
    <row r="40" spans="3:18">
      <c r="C40" s="15"/>
      <c r="Q40" s="23" t="s">
        <v>12</v>
      </c>
      <c r="R40" t="s">
        <v>26</v>
      </c>
    </row>
    <row r="41" spans="3:18">
      <c r="C41" s="15"/>
      <c r="Q41" s="23" t="s">
        <v>12</v>
      </c>
      <c r="R41" t="s">
        <v>32</v>
      </c>
    </row>
    <row r="42" spans="3:18" ht="12.75" customHeight="1">
      <c r="C42" s="15"/>
      <c r="Q42" s="23" t="s">
        <v>12</v>
      </c>
      <c r="R42" t="s">
        <v>33</v>
      </c>
    </row>
    <row r="43" spans="3:18" ht="16.5" customHeight="1">
      <c r="C43" s="15"/>
      <c r="Q43" s="24" t="s">
        <v>12</v>
      </c>
      <c r="R43" t="s">
        <v>36</v>
      </c>
    </row>
    <row r="44" spans="3:18">
      <c r="C44" s="15"/>
      <c r="Q44" s="285" t="s">
        <v>12</v>
      </c>
      <c r="R44" s="20" t="s">
        <v>38</v>
      </c>
    </row>
    <row r="45" spans="3:18" ht="13.5" thickBot="1">
      <c r="C45" s="15"/>
      <c r="Q45" s="25" t="s">
        <v>11</v>
      </c>
      <c r="R45" s="26" t="s">
        <v>31</v>
      </c>
    </row>
    <row r="46" spans="3:18">
      <c r="C46" s="15"/>
    </row>
    <row r="47" spans="3:18">
      <c r="C47" s="15"/>
    </row>
    <row r="48" spans="3:18">
      <c r="C48" s="15"/>
    </row>
    <row r="49" spans="3:15">
      <c r="C49" s="15"/>
    </row>
    <row r="50" spans="3:15">
      <c r="C50" s="15"/>
    </row>
    <row r="51" spans="3:15">
      <c r="C51" s="15"/>
    </row>
    <row r="52" spans="3:15">
      <c r="C52" s="15"/>
      <c r="I52" s="27"/>
    </row>
    <row r="53" spans="3:15" ht="13.5" thickBot="1">
      <c r="C53" s="184" t="s">
        <v>98</v>
      </c>
      <c r="D53" s="69"/>
      <c r="E53" s="69"/>
      <c r="F53" s="69"/>
      <c r="G53" s="69"/>
      <c r="H53" s="69"/>
      <c r="I53" s="27"/>
    </row>
    <row r="54" spans="3:15" ht="15">
      <c r="C54" s="344" t="s">
        <v>13</v>
      </c>
      <c r="D54" s="346" t="s">
        <v>133</v>
      </c>
      <c r="E54" s="347"/>
      <c r="F54" s="347"/>
      <c r="G54" s="347"/>
      <c r="H54" s="347"/>
    </row>
    <row r="55" spans="3:15">
      <c r="C55" s="345"/>
      <c r="D55" s="91" t="s">
        <v>14</v>
      </c>
      <c r="E55" s="92" t="s">
        <v>15</v>
      </c>
      <c r="F55" s="92" t="s">
        <v>5</v>
      </c>
      <c r="G55" s="92" t="s">
        <v>16</v>
      </c>
      <c r="H55" s="92" t="s">
        <v>71</v>
      </c>
    </row>
    <row r="56" spans="3:15">
      <c r="C56" s="185" t="s">
        <v>10</v>
      </c>
      <c r="D56" s="286">
        <v>48.05440062250004</v>
      </c>
      <c r="E56" s="188">
        <v>98.6990372275</v>
      </c>
      <c r="F56" s="188">
        <v>0</v>
      </c>
      <c r="G56" s="188">
        <v>138.02758368983291</v>
      </c>
      <c r="H56" s="188">
        <f>SUM(D56:G56)</f>
        <v>284.78102153983298</v>
      </c>
      <c r="I56" s="284"/>
      <c r="K56" s="265"/>
      <c r="L56" s="265"/>
      <c r="M56" s="265"/>
      <c r="N56" s="265"/>
      <c r="O56" s="265"/>
    </row>
    <row r="57" spans="3:15">
      <c r="C57" s="110" t="s">
        <v>9</v>
      </c>
      <c r="D57" s="287">
        <v>0</v>
      </c>
      <c r="E57" s="189">
        <v>1711.7819284099994</v>
      </c>
      <c r="F57" s="360">
        <v>0.22087028249999979</v>
      </c>
      <c r="G57" s="189">
        <v>2510.4608632375007</v>
      </c>
      <c r="H57" s="189">
        <f>SUM(D57:G57)</f>
        <v>4222.4636619299999</v>
      </c>
      <c r="I57" s="284"/>
      <c r="K57" s="265"/>
      <c r="L57" s="265"/>
      <c r="M57" s="265"/>
      <c r="N57" s="265"/>
      <c r="O57" s="265"/>
    </row>
    <row r="58" spans="3:15">
      <c r="C58" s="110" t="s">
        <v>12</v>
      </c>
      <c r="D58" s="287">
        <v>88.53855858999998</v>
      </c>
      <c r="E58" s="189">
        <v>346.40148717</v>
      </c>
      <c r="F58" s="189">
        <v>72.541998827499967</v>
      </c>
      <c r="G58" s="189">
        <v>236.76049116000002</v>
      </c>
      <c r="H58" s="189">
        <f>SUM(D58:G58)</f>
        <v>744.24253574749991</v>
      </c>
      <c r="I58" s="284"/>
      <c r="K58" s="265"/>
      <c r="L58" s="265"/>
      <c r="M58" s="265"/>
      <c r="N58" s="265"/>
      <c r="O58" s="265"/>
    </row>
    <row r="59" spans="3:15">
      <c r="C59" s="186" t="s">
        <v>11</v>
      </c>
      <c r="D59" s="288">
        <v>0</v>
      </c>
      <c r="E59" s="190">
        <v>0</v>
      </c>
      <c r="F59" s="190">
        <v>0</v>
      </c>
      <c r="G59" s="190">
        <f>E13</f>
        <v>37.17466799999999</v>
      </c>
      <c r="H59" s="190">
        <f>SUM(D59:G59)</f>
        <v>37.17466799999999</v>
      </c>
      <c r="I59" s="284"/>
      <c r="L59" s="265"/>
      <c r="M59" s="265"/>
    </row>
    <row r="60" spans="3:15" ht="13.5" thickBot="1">
      <c r="C60" s="93" t="s">
        <v>108</v>
      </c>
      <c r="D60" s="191">
        <f>SUM(D56:D59)</f>
        <v>136.59295921250003</v>
      </c>
      <c r="E60" s="192">
        <f>SUM(E56:E59)</f>
        <v>2156.8824528074992</v>
      </c>
      <c r="F60" s="192">
        <f>SUM(F56:F59)</f>
        <v>72.762869109999968</v>
      </c>
      <c r="G60" s="192">
        <f>SUM(G56:G59)</f>
        <v>2922.4236060873341</v>
      </c>
      <c r="H60" s="192">
        <f>SUM(H56:H59)</f>
        <v>5288.6618872173331</v>
      </c>
    </row>
    <row r="61" spans="3:15" ht="6.75" customHeight="1"/>
    <row r="64" spans="3:15">
      <c r="E64" s="265"/>
      <c r="H64" s="100"/>
    </row>
    <row r="65" spans="5:5">
      <c r="E65" s="100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93"/>
  <sheetViews>
    <sheetView view="pageBreakPreview" topLeftCell="A10" zoomScaleNormal="100" zoomScaleSheetLayoutView="100" workbookViewId="0">
      <selection activeCell="C6" sqref="C6:I33"/>
    </sheetView>
  </sheetViews>
  <sheetFormatPr baseColWidth="10" defaultColWidth="11.42578125" defaultRowHeight="12.75"/>
  <cols>
    <col min="1" max="2" width="5.42578125" customWidth="1"/>
    <col min="3" max="3" width="24.28515625" customWidth="1"/>
    <col min="4" max="4" width="11.7109375" bestFit="1" customWidth="1"/>
    <col min="5" max="5" width="11.7109375" customWidth="1"/>
    <col min="6" max="6" width="9.7109375" customWidth="1"/>
    <col min="7" max="8" width="11.7109375" customWidth="1"/>
    <col min="9" max="9" width="9.7109375" customWidth="1"/>
    <col min="10" max="10" width="12.28515625" customWidth="1"/>
    <col min="11" max="11" width="9.7109375" customWidth="1"/>
    <col min="12" max="12" width="10.28515625" customWidth="1"/>
    <col min="14" max="14" width="14.5703125" customWidth="1"/>
    <col min="15" max="15" width="14.5703125" bestFit="1" customWidth="1"/>
    <col min="16" max="16" width="13.5703125" customWidth="1"/>
    <col min="17" max="17" width="12.7109375" bestFit="1" customWidth="1"/>
    <col min="18" max="18" width="14.28515625" bestFit="1" customWidth="1"/>
    <col min="19" max="19" width="14.42578125" customWidth="1"/>
    <col min="20" max="20" width="13.28515625" customWidth="1"/>
  </cols>
  <sheetData>
    <row r="1" spans="3:19" ht="15">
      <c r="C1" s="13"/>
      <c r="D1" s="2"/>
      <c r="E1" s="13"/>
      <c r="F1" s="13"/>
      <c r="G1" s="13"/>
      <c r="H1" s="13"/>
      <c r="I1" s="13"/>
      <c r="J1" s="13"/>
      <c r="K1" s="33"/>
      <c r="L1" s="33"/>
      <c r="M1" s="34"/>
      <c r="N1" s="34"/>
      <c r="O1" s="34"/>
      <c r="P1" s="34"/>
      <c r="Q1" s="34"/>
      <c r="R1" s="34"/>
    </row>
    <row r="2" spans="3:19" ht="15">
      <c r="C2" s="12" t="s">
        <v>101</v>
      </c>
      <c r="D2" s="2"/>
      <c r="E2" s="12"/>
      <c r="F2" s="12"/>
      <c r="G2" s="12"/>
      <c r="H2" s="12"/>
      <c r="I2" s="12"/>
      <c r="J2" s="12"/>
      <c r="K2" s="1"/>
      <c r="L2" s="1"/>
      <c r="M2" s="9"/>
      <c r="N2" s="9"/>
      <c r="O2" s="9"/>
      <c r="P2" s="9"/>
      <c r="Q2" s="9"/>
      <c r="R2" s="9"/>
    </row>
    <row r="3" spans="3:19" ht="15">
      <c r="C3" s="12"/>
      <c r="D3" s="2"/>
      <c r="E3" s="12"/>
      <c r="F3" s="12"/>
      <c r="G3" s="12"/>
      <c r="H3" s="12"/>
      <c r="I3" s="12"/>
      <c r="J3" s="12"/>
      <c r="K3" s="1"/>
      <c r="L3" s="1"/>
      <c r="M3" s="9"/>
      <c r="N3" s="9"/>
      <c r="O3" s="9"/>
      <c r="P3" s="9"/>
      <c r="Q3" s="9"/>
      <c r="R3" s="9"/>
    </row>
    <row r="4" spans="3:19" ht="15">
      <c r="C4" s="5" t="s">
        <v>99</v>
      </c>
      <c r="D4" s="2"/>
      <c r="E4" s="12"/>
      <c r="F4" s="12"/>
      <c r="G4" s="12"/>
      <c r="H4" s="12"/>
      <c r="I4" s="12"/>
      <c r="J4" s="12"/>
      <c r="K4" s="1"/>
      <c r="L4" s="1"/>
      <c r="M4" s="9"/>
      <c r="N4" s="9"/>
      <c r="O4" s="9"/>
      <c r="P4" s="9"/>
      <c r="Q4" s="9"/>
      <c r="R4" s="9"/>
    </row>
    <row r="5" spans="3:19" ht="13.5" thickBot="1"/>
    <row r="6" spans="3:19" ht="12.75" customHeight="1">
      <c r="C6" s="86" t="s">
        <v>60</v>
      </c>
      <c r="D6" s="351" t="s">
        <v>127</v>
      </c>
      <c r="E6" s="352"/>
      <c r="F6" s="340" t="s">
        <v>74</v>
      </c>
      <c r="G6" s="342" t="s">
        <v>128</v>
      </c>
      <c r="H6" s="343"/>
      <c r="I6" s="340" t="s">
        <v>74</v>
      </c>
      <c r="O6" s="36"/>
      <c r="P6" s="7"/>
      <c r="Q6" s="353" t="s">
        <v>116</v>
      </c>
      <c r="R6" s="353"/>
    </row>
    <row r="7" spans="3:19" ht="12.75" customHeight="1">
      <c r="C7" s="87"/>
      <c r="D7" s="88">
        <v>2021</v>
      </c>
      <c r="E7" s="76">
        <v>2022</v>
      </c>
      <c r="F7" s="341"/>
      <c r="G7" s="206">
        <v>2021</v>
      </c>
      <c r="H7" s="76">
        <v>2022</v>
      </c>
      <c r="I7" s="341"/>
      <c r="N7" s="41"/>
      <c r="O7" s="54">
        <v>2021</v>
      </c>
      <c r="P7" s="200">
        <v>2022</v>
      </c>
      <c r="Q7" s="41">
        <v>2020</v>
      </c>
      <c r="R7" s="41">
        <v>2021</v>
      </c>
    </row>
    <row r="8" spans="3:19" ht="20.100000000000001" customHeight="1">
      <c r="C8" s="95" t="s">
        <v>17</v>
      </c>
      <c r="D8" s="305">
        <v>5.0356069999999997</v>
      </c>
      <c r="E8" s="297">
        <v>3.5265919999999999</v>
      </c>
      <c r="F8" s="194">
        <f>+E8/D8-1</f>
        <v>-0.29966893762757896</v>
      </c>
      <c r="G8" s="303">
        <v>50.395209000000001</v>
      </c>
      <c r="H8" s="297">
        <v>46.882500999999991</v>
      </c>
      <c r="I8" s="194">
        <f>+H8/G8-1</f>
        <v>-6.9703213255847607E-2</v>
      </c>
      <c r="J8" s="16"/>
      <c r="K8" s="35"/>
      <c r="L8" s="35"/>
      <c r="N8" s="41" t="s">
        <v>10</v>
      </c>
      <c r="O8" s="54">
        <f>SUM(D8,D13,D20,D21,D27,D29,D31)</f>
        <v>356.91009600000001</v>
      </c>
      <c r="P8" s="54">
        <f>SUM(E8,E13,E20,E21,E27,E29,E31)</f>
        <v>284.78102153983298</v>
      </c>
      <c r="Q8" s="54">
        <f>SUM(G8,G13,G20,G21,G27,G29,G31)</f>
        <v>3829.9579859999999</v>
      </c>
      <c r="R8" s="54">
        <f>SUM(H8,H13,H20,H21,H27,H29,H31)</f>
        <v>3779.6352219095365</v>
      </c>
    </row>
    <row r="9" spans="3:19" ht="20.100000000000001" customHeight="1">
      <c r="C9" s="96" t="s">
        <v>18</v>
      </c>
      <c r="D9" s="193">
        <v>247.48364299999997</v>
      </c>
      <c r="E9" s="247">
        <v>198.64106209750017</v>
      </c>
      <c r="F9" s="195">
        <f t="shared" ref="F9:F32" si="0">+E9/D9-1</f>
        <v>-0.19735680431413327</v>
      </c>
      <c r="G9" s="207">
        <v>2357.0139060000001</v>
      </c>
      <c r="H9" s="247">
        <v>2134.2709171342358</v>
      </c>
      <c r="I9" s="195">
        <f t="shared" ref="I9:I32" si="1">+H9/G9-1</f>
        <v>-9.4502195468067152E-2</v>
      </c>
      <c r="J9" s="16"/>
      <c r="K9" s="35"/>
      <c r="L9" s="35"/>
      <c r="N9" s="41" t="s">
        <v>9</v>
      </c>
      <c r="O9" s="54">
        <f>SUM(D9,D14,D16,D17,D19,D22,D26,D32)</f>
        <v>3989.5914669999997</v>
      </c>
      <c r="P9" s="54">
        <f>SUM(E9,E14,E16,E17,E19,E22,E26,E32)</f>
        <v>4222.4636619299999</v>
      </c>
      <c r="Q9" s="54">
        <f>SUM(G9,G14,G16,G17,G19,G22,G26,G32)</f>
        <v>46238.766788000001</v>
      </c>
      <c r="R9" s="54">
        <f>SUM(H9,H14,H16,H17,H19,H22,H26,H32)</f>
        <v>48187.506919989471</v>
      </c>
    </row>
    <row r="10" spans="3:19" ht="20.100000000000001" customHeight="1">
      <c r="C10" s="97" t="s">
        <v>19</v>
      </c>
      <c r="D10" s="295">
        <v>4.4550930000000006</v>
      </c>
      <c r="E10" s="270">
        <v>2.6481629999999994</v>
      </c>
      <c r="F10" s="195">
        <f t="shared" si="0"/>
        <v>-0.40558749278634609</v>
      </c>
      <c r="G10" s="294">
        <v>45.498532999999995</v>
      </c>
      <c r="H10" s="270">
        <v>42.515861999999998</v>
      </c>
      <c r="I10" s="361">
        <f t="shared" si="1"/>
        <v>-6.5555322410065342E-2</v>
      </c>
      <c r="J10" s="16"/>
      <c r="K10" s="35"/>
      <c r="L10" s="35"/>
      <c r="N10" s="41" t="s">
        <v>12</v>
      </c>
      <c r="O10" s="54">
        <f>SUM(D10,D11,D12,D15,D18,D24,D25,D28,D30)</f>
        <v>608.92858799999988</v>
      </c>
      <c r="P10" s="54">
        <f>SUM(E10,E11,E12,E15,E18,E24,E25,E28,E30)</f>
        <v>744.24253574750003</v>
      </c>
      <c r="Q10" s="54">
        <f>SUM(G10,G11,G12,G15,G18,G24,G25,G28,G30)</f>
        <v>6915.9477129999996</v>
      </c>
      <c r="R10" s="54">
        <f>SUM(H10,H11,H12,H15,H18,H24,H25,H28,H30)</f>
        <v>7248.3585677297206</v>
      </c>
    </row>
    <row r="11" spans="3:19" ht="20.100000000000001" customHeight="1">
      <c r="C11" s="96" t="s">
        <v>20</v>
      </c>
      <c r="D11" s="193">
        <v>100.529943</v>
      </c>
      <c r="E11" s="247">
        <v>139.17747613999995</v>
      </c>
      <c r="F11" s="195">
        <f t="shared" si="0"/>
        <v>0.38443802897610269</v>
      </c>
      <c r="G11" s="207">
        <v>1217.4956840000002</v>
      </c>
      <c r="H11" s="247">
        <v>1201.9295397583728</v>
      </c>
      <c r="I11" s="195">
        <f t="shared" si="1"/>
        <v>-1.2785379403141617E-2</v>
      </c>
      <c r="J11" s="16"/>
      <c r="K11" s="35"/>
      <c r="L11" s="35"/>
      <c r="N11" s="275" t="s">
        <v>11</v>
      </c>
      <c r="O11" s="54">
        <f>D23</f>
        <v>36.342624000000008</v>
      </c>
      <c r="P11" s="54">
        <f>E23</f>
        <v>37.17466799999999</v>
      </c>
      <c r="Q11" s="54">
        <f>G23</f>
        <v>412.34330500000004</v>
      </c>
      <c r="R11" s="54">
        <f>H23</f>
        <v>421.661923</v>
      </c>
    </row>
    <row r="12" spans="3:19" ht="20.100000000000001" customHeight="1">
      <c r="C12" s="96" t="s">
        <v>21</v>
      </c>
      <c r="D12" s="295">
        <v>1.0629499999999998</v>
      </c>
      <c r="E12" s="270">
        <v>1.0052429999999999</v>
      </c>
      <c r="F12" s="195">
        <f t="shared" si="0"/>
        <v>-5.4289477397807984E-2</v>
      </c>
      <c r="G12" s="294">
        <v>10.701713999999999</v>
      </c>
      <c r="H12" s="270">
        <v>11.334415</v>
      </c>
      <c r="I12" s="195">
        <f t="shared" si="1"/>
        <v>5.9121464094443299E-2</v>
      </c>
      <c r="J12" s="16"/>
      <c r="K12" s="35"/>
      <c r="L12" s="35"/>
      <c r="O12" s="36"/>
      <c r="P12" s="7"/>
      <c r="Q12" s="36"/>
      <c r="R12" s="36"/>
      <c r="S12" s="36"/>
    </row>
    <row r="13" spans="3:19" ht="20.100000000000001" customHeight="1">
      <c r="C13" s="96" t="s">
        <v>22</v>
      </c>
      <c r="D13" s="193">
        <v>152.11153699999997</v>
      </c>
      <c r="E13" s="247">
        <v>85.861877705000012</v>
      </c>
      <c r="F13" s="195">
        <f t="shared" si="0"/>
        <v>-0.43553342896666658</v>
      </c>
      <c r="G13" s="207">
        <v>1469.2519950000001</v>
      </c>
      <c r="H13" s="247">
        <v>1336.194346840746</v>
      </c>
      <c r="I13" s="195">
        <f t="shared" si="1"/>
        <v>-9.0561488847428206E-2</v>
      </c>
      <c r="J13" s="16"/>
      <c r="K13" s="35"/>
      <c r="L13" s="35"/>
      <c r="O13" s="36"/>
      <c r="P13" s="7"/>
      <c r="Q13" s="36"/>
      <c r="R13" s="36"/>
      <c r="S13" s="36"/>
    </row>
    <row r="14" spans="3:19" ht="20.100000000000001" customHeight="1">
      <c r="C14" s="96" t="s">
        <v>59</v>
      </c>
      <c r="D14" s="193">
        <v>274.49398500000001</v>
      </c>
      <c r="E14" s="247">
        <v>332.86587615000019</v>
      </c>
      <c r="F14" s="195">
        <f t="shared" si="0"/>
        <v>0.21265271495839944</v>
      </c>
      <c r="G14" s="207">
        <v>3165.1906389999999</v>
      </c>
      <c r="H14" s="247">
        <v>3526.725417927501</v>
      </c>
      <c r="I14" s="195">
        <f t="shared" si="1"/>
        <v>0.11422211808440186</v>
      </c>
      <c r="K14" s="35"/>
      <c r="L14" s="35"/>
      <c r="O14" s="36"/>
      <c r="P14" s="7"/>
      <c r="Q14" s="36"/>
      <c r="R14" s="36"/>
      <c r="S14" s="36"/>
    </row>
    <row r="15" spans="3:19" ht="20.100000000000001" customHeight="1">
      <c r="C15" s="96" t="s">
        <v>23</v>
      </c>
      <c r="D15" s="193">
        <v>200.03168299999996</v>
      </c>
      <c r="E15" s="247">
        <v>169.88106067749996</v>
      </c>
      <c r="F15" s="195">
        <f t="shared" si="0"/>
        <v>-0.15072923384092107</v>
      </c>
      <c r="G15" s="207">
        <v>2052.0613049999997</v>
      </c>
      <c r="H15" s="247">
        <v>1974.9435749988465</v>
      </c>
      <c r="I15" s="195">
        <f t="shared" si="1"/>
        <v>-3.7580617018239226E-2</v>
      </c>
      <c r="K15" s="35"/>
      <c r="L15" s="35"/>
      <c r="O15" s="36"/>
      <c r="P15" s="7"/>
      <c r="Q15" s="36"/>
      <c r="R15" s="36"/>
      <c r="S15" s="36"/>
    </row>
    <row r="16" spans="3:19" ht="20.100000000000001" customHeight="1">
      <c r="C16" s="96" t="s">
        <v>24</v>
      </c>
      <c r="D16" s="193">
        <v>909.57763299999999</v>
      </c>
      <c r="E16" s="247">
        <v>608.63423792749973</v>
      </c>
      <c r="F16" s="195">
        <f t="shared" si="0"/>
        <v>-0.33086059304241955</v>
      </c>
      <c r="G16" s="207">
        <v>10202.526967999998</v>
      </c>
      <c r="H16" s="247">
        <v>9571.9417326735711</v>
      </c>
      <c r="I16" s="195">
        <f t="shared" si="1"/>
        <v>-6.1806769764416569E-2</v>
      </c>
      <c r="K16" s="35"/>
      <c r="L16" s="35"/>
      <c r="O16" s="36"/>
      <c r="P16" s="7"/>
      <c r="Q16" s="36"/>
      <c r="R16" s="36"/>
      <c r="S16" s="36"/>
    </row>
    <row r="17" spans="3:19" ht="20.100000000000001" customHeight="1">
      <c r="C17" s="96" t="s">
        <v>25</v>
      </c>
      <c r="D17" s="193">
        <v>298.87207799999999</v>
      </c>
      <c r="E17" s="247">
        <v>128.04027568999999</v>
      </c>
      <c r="F17" s="195">
        <f t="shared" si="0"/>
        <v>-0.57158836467152341</v>
      </c>
      <c r="G17" s="207">
        <v>2424.081295</v>
      </c>
      <c r="H17" s="247">
        <v>2012.8011916489834</v>
      </c>
      <c r="I17" s="195">
        <f t="shared" si="1"/>
        <v>-0.16966431950914274</v>
      </c>
      <c r="K17" s="35"/>
      <c r="L17" s="35"/>
      <c r="O17" s="36"/>
      <c r="P17" s="7"/>
      <c r="Q17" s="36"/>
      <c r="R17" s="36"/>
      <c r="S17" s="36"/>
    </row>
    <row r="18" spans="3:19" ht="20.100000000000001" customHeight="1">
      <c r="C18" s="96" t="s">
        <v>26</v>
      </c>
      <c r="D18" s="193">
        <v>130.060124</v>
      </c>
      <c r="E18" s="247">
        <v>129.9744808225</v>
      </c>
      <c r="F18" s="195">
        <f t="shared" si="0"/>
        <v>-6.5848912692101358E-4</v>
      </c>
      <c r="G18" s="207">
        <v>1698.1200670000003</v>
      </c>
      <c r="H18" s="247">
        <v>1807.1827032475001</v>
      </c>
      <c r="I18" s="195">
        <f t="shared" si="1"/>
        <v>6.4225515242968934E-2</v>
      </c>
      <c r="K18" s="35"/>
      <c r="L18" s="35"/>
      <c r="O18" s="36"/>
      <c r="P18" s="7"/>
      <c r="Q18" s="36"/>
      <c r="R18" s="36"/>
      <c r="S18" s="36"/>
    </row>
    <row r="19" spans="3:19" ht="20.100000000000001" customHeight="1">
      <c r="C19" s="96" t="s">
        <v>27</v>
      </c>
      <c r="D19" s="193">
        <v>341.05077199999999</v>
      </c>
      <c r="E19" s="247">
        <v>224.78983627749989</v>
      </c>
      <c r="F19" s="195">
        <f t="shared" si="0"/>
        <v>-0.34089040479433397</v>
      </c>
      <c r="G19" s="207">
        <v>3134.1466729999993</v>
      </c>
      <c r="H19" s="247">
        <v>3069.8361010075</v>
      </c>
      <c r="I19" s="195">
        <f t="shared" si="1"/>
        <v>-2.0519324301737751E-2</v>
      </c>
      <c r="K19" s="35"/>
      <c r="L19" s="35"/>
      <c r="P19" s="7"/>
      <c r="Q19" s="36"/>
      <c r="R19" s="36"/>
      <c r="S19" s="36"/>
    </row>
    <row r="20" spans="3:19" ht="20.100000000000001" customHeight="1">
      <c r="C20" s="96" t="s">
        <v>28</v>
      </c>
      <c r="D20" s="193">
        <v>70.594864000000001</v>
      </c>
      <c r="E20" s="247">
        <v>60.593246457332903</v>
      </c>
      <c r="F20" s="195">
        <f t="shared" si="0"/>
        <v>-0.14167627750748413</v>
      </c>
      <c r="G20" s="207">
        <v>710.45667200000003</v>
      </c>
      <c r="H20" s="247">
        <v>703.32611528379039</v>
      </c>
      <c r="I20" s="195">
        <f t="shared" si="1"/>
        <v>-1.0036582098858271E-2</v>
      </c>
      <c r="K20" s="35"/>
      <c r="L20" s="35"/>
      <c r="O20" s="36"/>
      <c r="P20" s="7"/>
      <c r="Q20" s="36"/>
      <c r="R20" s="36"/>
      <c r="S20" s="36"/>
    </row>
    <row r="21" spans="3:19" ht="20.100000000000001" customHeight="1">
      <c r="C21" s="96" t="s">
        <v>29</v>
      </c>
      <c r="D21" s="193">
        <v>5.093668000000001</v>
      </c>
      <c r="E21" s="247">
        <v>5.5740325325000004</v>
      </c>
      <c r="F21" s="195">
        <f t="shared" si="0"/>
        <v>9.4306211653370386E-2</v>
      </c>
      <c r="G21" s="207">
        <v>61.721995</v>
      </c>
      <c r="H21" s="247">
        <v>65.62917327000001</v>
      </c>
      <c r="I21" s="195">
        <f t="shared" si="1"/>
        <v>6.3302851276923366E-2</v>
      </c>
      <c r="J21" s="16"/>
      <c r="K21" s="35"/>
      <c r="L21" s="35"/>
      <c r="O21" s="36"/>
      <c r="P21" s="7"/>
      <c r="Q21" s="36"/>
      <c r="R21" s="36"/>
      <c r="S21" s="36"/>
    </row>
    <row r="22" spans="3:19" ht="20.100000000000001" customHeight="1">
      <c r="C22" s="96" t="s">
        <v>30</v>
      </c>
      <c r="D22" s="193">
        <v>1824.787204</v>
      </c>
      <c r="E22" s="247">
        <v>2627.8384339450008</v>
      </c>
      <c r="F22" s="195">
        <f t="shared" si="0"/>
        <v>0.44007938470013563</v>
      </c>
      <c r="G22" s="207">
        <v>23848.561409000005</v>
      </c>
      <c r="H22" s="247">
        <v>26707.195945054194</v>
      </c>
      <c r="I22" s="195">
        <f t="shared" si="1"/>
        <v>0.11986612051892553</v>
      </c>
      <c r="J22" s="16"/>
      <c r="K22" s="35"/>
      <c r="L22" s="35"/>
      <c r="O22" s="36"/>
      <c r="P22" s="7"/>
      <c r="Q22" s="36"/>
      <c r="R22" s="36"/>
      <c r="S22" s="36"/>
    </row>
    <row r="23" spans="3:19" ht="20.100000000000001" customHeight="1">
      <c r="C23" s="96" t="s">
        <v>31</v>
      </c>
      <c r="D23" s="193">
        <v>36.342624000000008</v>
      </c>
      <c r="E23" s="247">
        <v>37.17466799999999</v>
      </c>
      <c r="F23" s="195">
        <f t="shared" si="0"/>
        <v>2.2894439322817872E-2</v>
      </c>
      <c r="G23" s="207">
        <v>412.34330500000004</v>
      </c>
      <c r="H23" s="247">
        <v>421.661923</v>
      </c>
      <c r="I23" s="195">
        <f t="shared" si="1"/>
        <v>2.2599173763716118E-2</v>
      </c>
      <c r="J23" s="16"/>
      <c r="K23" s="35"/>
      <c r="L23" s="35"/>
      <c r="O23" s="36"/>
      <c r="P23" s="36"/>
      <c r="Q23" s="36"/>
      <c r="R23" s="36"/>
      <c r="S23" s="36"/>
    </row>
    <row r="24" spans="3:19" ht="20.100000000000001" customHeight="1">
      <c r="C24" s="96" t="s">
        <v>32</v>
      </c>
      <c r="D24" s="295">
        <v>9.2978000000000005E-2</v>
      </c>
      <c r="E24" s="270">
        <v>0.34484854500000001</v>
      </c>
      <c r="F24" s="195">
        <f t="shared" si="0"/>
        <v>2.7089262513712922</v>
      </c>
      <c r="G24" s="362">
        <v>1.9796260000000001</v>
      </c>
      <c r="H24" s="363">
        <v>1.9740589775000001</v>
      </c>
      <c r="I24" s="312">
        <f t="shared" si="1"/>
        <v>-2.8121587107867718E-3</v>
      </c>
      <c r="J24" s="16"/>
      <c r="K24" s="35"/>
      <c r="L24" s="35"/>
      <c r="O24" s="36"/>
      <c r="P24" s="7"/>
      <c r="Q24" s="36"/>
      <c r="R24" s="36"/>
      <c r="S24" s="36"/>
    </row>
    <row r="25" spans="3:19" ht="20.100000000000001" customHeight="1">
      <c r="C25" s="96" t="s">
        <v>33</v>
      </c>
      <c r="D25" s="193">
        <v>71.218025999999995</v>
      </c>
      <c r="E25" s="247">
        <v>196.82131211499996</v>
      </c>
      <c r="F25" s="195">
        <f t="shared" si="0"/>
        <v>1.7636445878884648</v>
      </c>
      <c r="G25" s="207">
        <v>753.20876799999996</v>
      </c>
      <c r="H25" s="247">
        <v>1004.0334422149999</v>
      </c>
      <c r="I25" s="195">
        <f t="shared" si="1"/>
        <v>0.33300817100286317</v>
      </c>
      <c r="J25" s="16"/>
      <c r="K25" s="35"/>
      <c r="L25" s="35"/>
      <c r="P25" s="7"/>
      <c r="Q25" s="36"/>
      <c r="R25" s="36"/>
      <c r="S25" s="36"/>
    </row>
    <row r="26" spans="3:19" ht="20.100000000000001" customHeight="1">
      <c r="C26" s="96" t="s">
        <v>34</v>
      </c>
      <c r="D26" s="193">
        <v>90.097028000000009</v>
      </c>
      <c r="E26" s="247">
        <v>58.051454570000004</v>
      </c>
      <c r="F26" s="195">
        <f t="shared" si="0"/>
        <v>-0.35567847398917529</v>
      </c>
      <c r="G26" s="207">
        <v>868.4502950000001</v>
      </c>
      <c r="H26" s="247">
        <v>836.83223253598089</v>
      </c>
      <c r="I26" s="361">
        <f t="shared" si="1"/>
        <v>-3.6407452039634802E-2</v>
      </c>
      <c r="J26" s="16"/>
      <c r="K26" s="35"/>
      <c r="L26" s="35"/>
      <c r="O26" s="36"/>
      <c r="P26" s="7"/>
      <c r="Q26" s="36"/>
      <c r="R26" s="36"/>
      <c r="S26" s="36"/>
    </row>
    <row r="27" spans="3:19" ht="20.100000000000001" customHeight="1">
      <c r="C27" s="96" t="s">
        <v>35</v>
      </c>
      <c r="D27" s="193">
        <v>117.811869</v>
      </c>
      <c r="E27" s="247">
        <v>124.67980584500002</v>
      </c>
      <c r="F27" s="195">
        <f t="shared" si="0"/>
        <v>5.8295797386934023E-2</v>
      </c>
      <c r="G27" s="207">
        <v>1477.7218549999998</v>
      </c>
      <c r="H27" s="247">
        <v>1574.8359105149998</v>
      </c>
      <c r="I27" s="195">
        <f t="shared" si="1"/>
        <v>6.5718765129179291E-2</v>
      </c>
      <c r="J27" s="16"/>
      <c r="K27" s="35"/>
      <c r="L27" s="35"/>
      <c r="O27" s="36"/>
      <c r="P27" s="7"/>
      <c r="Q27" s="36"/>
      <c r="R27" s="36"/>
      <c r="S27" s="36"/>
    </row>
    <row r="28" spans="3:19" ht="20.100000000000001" customHeight="1">
      <c r="C28" s="96" t="s">
        <v>36</v>
      </c>
      <c r="D28" s="193">
        <v>87.272808999999981</v>
      </c>
      <c r="E28" s="247">
        <v>96.184650787500104</v>
      </c>
      <c r="F28" s="195">
        <f t="shared" si="0"/>
        <v>0.10211475818888927</v>
      </c>
      <c r="G28" s="207">
        <v>979.09539299999994</v>
      </c>
      <c r="H28" s="247">
        <v>1057.3648988125003</v>
      </c>
      <c r="I28" s="195">
        <f t="shared" si="1"/>
        <v>7.9940633335714661E-2</v>
      </c>
      <c r="J28" s="16"/>
      <c r="K28" s="35"/>
      <c r="L28" s="35"/>
      <c r="P28" s="7"/>
      <c r="Q28" s="36"/>
      <c r="R28" s="36"/>
      <c r="S28" s="36"/>
    </row>
    <row r="29" spans="3:19" ht="20.100000000000001" customHeight="1">
      <c r="C29" s="96" t="s">
        <v>37</v>
      </c>
      <c r="D29" s="193">
        <v>5.1620030000000003</v>
      </c>
      <c r="E29" s="247">
        <v>3.4449190000000001</v>
      </c>
      <c r="F29" s="195">
        <f t="shared" si="0"/>
        <v>-0.33263909377813228</v>
      </c>
      <c r="G29" s="207">
        <v>47.203683999999996</v>
      </c>
      <c r="H29" s="247">
        <v>39.560598999999996</v>
      </c>
      <c r="I29" s="195">
        <f t="shared" si="1"/>
        <v>-0.16191712918000212</v>
      </c>
      <c r="J29" s="16"/>
      <c r="K29" s="35"/>
      <c r="L29" s="35"/>
      <c r="O29" s="36"/>
      <c r="P29" s="7"/>
      <c r="Q29" s="36"/>
      <c r="R29" s="36"/>
      <c r="S29" s="36"/>
    </row>
    <row r="30" spans="3:19" ht="20.100000000000001" customHeight="1">
      <c r="C30" s="96" t="s">
        <v>38</v>
      </c>
      <c r="D30" s="193">
        <v>14.204981999999999</v>
      </c>
      <c r="E30" s="247">
        <v>8.2053006600000025</v>
      </c>
      <c r="F30" s="195">
        <f t="shared" si="0"/>
        <v>-0.42236458588965453</v>
      </c>
      <c r="G30" s="207">
        <v>157.78662299999999</v>
      </c>
      <c r="H30" s="247">
        <v>147.08007272000003</v>
      </c>
      <c r="I30" s="195">
        <f t="shared" si="1"/>
        <v>-6.7854613251973617E-2</v>
      </c>
      <c r="J30" s="16"/>
      <c r="K30" s="35"/>
      <c r="L30" s="35"/>
      <c r="P30" s="7"/>
      <c r="Q30" s="36"/>
      <c r="R30" s="36"/>
      <c r="S30" s="36"/>
    </row>
    <row r="31" spans="3:19" ht="20.100000000000001" customHeight="1">
      <c r="C31" s="96" t="s">
        <v>39</v>
      </c>
      <c r="D31" s="193">
        <v>1.1005480000000001</v>
      </c>
      <c r="E31" s="247">
        <v>1.1005480000000001</v>
      </c>
      <c r="F31" s="195">
        <f>+E31/D31-1</f>
        <v>0</v>
      </c>
      <c r="G31" s="207">
        <v>13.206576000000002</v>
      </c>
      <c r="H31" s="247">
        <v>13.206576000000002</v>
      </c>
      <c r="I31" s="195">
        <f t="shared" si="1"/>
        <v>0</v>
      </c>
      <c r="J31" s="16"/>
      <c r="K31" s="35"/>
      <c r="L31" s="35"/>
      <c r="P31" s="7"/>
      <c r="Q31" s="36"/>
      <c r="R31" s="36"/>
      <c r="S31" s="36"/>
    </row>
    <row r="32" spans="3:19" ht="20.100000000000001" customHeight="1">
      <c r="C32" s="98" t="s">
        <v>40</v>
      </c>
      <c r="D32" s="187">
        <v>3.2291240000000001</v>
      </c>
      <c r="E32" s="248">
        <v>43.602485272499919</v>
      </c>
      <c r="F32" s="196">
        <f t="shared" si="0"/>
        <v>12.502883528938472</v>
      </c>
      <c r="G32" s="208">
        <v>238.79560300000003</v>
      </c>
      <c r="H32" s="248">
        <v>327.90338200749994</v>
      </c>
      <c r="I32" s="196">
        <f t="shared" si="1"/>
        <v>0.37315502416307011</v>
      </c>
      <c r="J32" s="16"/>
      <c r="K32" s="35"/>
      <c r="L32" s="35"/>
      <c r="O32" s="36"/>
      <c r="P32" s="7"/>
      <c r="Q32" s="36"/>
      <c r="R32" s="36"/>
      <c r="S32" s="36"/>
    </row>
    <row r="33" spans="3:19" ht="16.5" customHeight="1" thickBot="1">
      <c r="C33" s="283" t="s">
        <v>108</v>
      </c>
      <c r="D33" s="89">
        <f>SUM(D8:D32)</f>
        <v>4991.7727750000004</v>
      </c>
      <c r="E33" s="249">
        <f>SUM(E8:E32)</f>
        <v>5288.6618872173322</v>
      </c>
      <c r="F33" s="94">
        <f>+E33/D33-1</f>
        <v>5.9475686414298234E-2</v>
      </c>
      <c r="G33" s="209">
        <f>SUM(G8:G32)</f>
        <v>57397.015792000006</v>
      </c>
      <c r="H33" s="249">
        <f>SUM(H8:H32)</f>
        <v>59637.162632628715</v>
      </c>
      <c r="I33" s="210">
        <f>+H33/G33-1</f>
        <v>3.9028977547312493E-2</v>
      </c>
      <c r="J33" s="16"/>
      <c r="K33" s="37"/>
      <c r="N33" s="38"/>
      <c r="O33" s="36"/>
      <c r="P33" s="36"/>
      <c r="Q33" s="36"/>
      <c r="R33" s="36"/>
      <c r="S33" s="36"/>
    </row>
    <row r="34" spans="3:19">
      <c r="J34" s="16"/>
      <c r="K34" s="37"/>
      <c r="N34" s="38"/>
      <c r="O34" s="36"/>
      <c r="P34" s="36"/>
      <c r="Q34" s="36"/>
      <c r="R34" s="36"/>
      <c r="S34" s="36"/>
    </row>
    <row r="35" spans="3:19">
      <c r="H35" s="16"/>
      <c r="I35" s="16"/>
      <c r="J35" s="16"/>
      <c r="K35" s="37"/>
      <c r="O35" s="36"/>
      <c r="P35" s="36"/>
      <c r="Q35" s="36"/>
      <c r="R35" s="36"/>
      <c r="S35" s="36"/>
    </row>
    <row r="36" spans="3:19">
      <c r="C36" s="17" t="s">
        <v>131</v>
      </c>
      <c r="N36" s="38"/>
      <c r="O36" s="36"/>
      <c r="P36" s="36"/>
      <c r="Q36" s="36"/>
      <c r="R36" s="36"/>
      <c r="S36" s="36"/>
    </row>
    <row r="37" spans="3:19">
      <c r="C37" s="15"/>
      <c r="O37" s="36"/>
      <c r="P37" s="36"/>
      <c r="Q37" s="36"/>
      <c r="R37" s="36"/>
      <c r="S37" s="36"/>
    </row>
    <row r="38" spans="3:19" ht="12.75" customHeight="1">
      <c r="C38" s="15"/>
      <c r="O38" s="36"/>
      <c r="P38" s="36"/>
      <c r="Q38" s="36"/>
      <c r="R38" s="36"/>
      <c r="S38" s="36"/>
    </row>
    <row r="39" spans="3:19" ht="16.5" customHeight="1">
      <c r="C39" s="15"/>
      <c r="O39" s="36"/>
      <c r="P39" s="36"/>
      <c r="Q39" s="36"/>
      <c r="R39" s="36"/>
      <c r="S39" s="36"/>
    </row>
    <row r="40" spans="3:19">
      <c r="C40" s="15"/>
    </row>
    <row r="41" spans="3:19">
      <c r="C41" s="15"/>
    </row>
    <row r="42" spans="3:19">
      <c r="C42" s="15"/>
    </row>
    <row r="43" spans="3:19">
      <c r="C43" s="15"/>
      <c r="N43" s="39" t="s">
        <v>43</v>
      </c>
      <c r="O43" s="296" t="s">
        <v>45</v>
      </c>
    </row>
    <row r="44" spans="3:19">
      <c r="C44" s="15"/>
      <c r="N44" s="39" t="s">
        <v>30</v>
      </c>
      <c r="O44" s="40">
        <v>2627.8384339450008</v>
      </c>
      <c r="S44" s="36"/>
    </row>
    <row r="45" spans="3:19">
      <c r="C45" s="15"/>
      <c r="N45" s="39" t="s">
        <v>24</v>
      </c>
      <c r="O45" s="40">
        <v>608.63423792749973</v>
      </c>
      <c r="S45" s="36"/>
    </row>
    <row r="46" spans="3:19">
      <c r="C46" s="15"/>
      <c r="N46" s="39" t="s">
        <v>59</v>
      </c>
      <c r="O46" s="40">
        <v>332.86587615000019</v>
      </c>
      <c r="S46" s="36"/>
    </row>
    <row r="47" spans="3:19">
      <c r="N47" s="39" t="s">
        <v>27</v>
      </c>
      <c r="O47" s="40">
        <v>224.78983627749989</v>
      </c>
      <c r="S47" s="36"/>
    </row>
    <row r="48" spans="3:19">
      <c r="N48" s="39" t="s">
        <v>18</v>
      </c>
      <c r="O48" s="40">
        <v>198.64106209750017</v>
      </c>
      <c r="S48" s="36"/>
    </row>
    <row r="49" spans="14:19">
      <c r="N49" s="39" t="s">
        <v>33</v>
      </c>
      <c r="O49" s="40">
        <v>196.82131211499996</v>
      </c>
      <c r="S49" s="36"/>
    </row>
    <row r="50" spans="14:19">
      <c r="N50" s="39" t="s">
        <v>23</v>
      </c>
      <c r="O50" s="40">
        <v>169.88106067749996</v>
      </c>
      <c r="S50" s="36"/>
    </row>
    <row r="51" spans="14:19">
      <c r="N51" s="39" t="s">
        <v>20</v>
      </c>
      <c r="O51" s="40">
        <v>139.17747613999995</v>
      </c>
      <c r="S51" s="36"/>
    </row>
    <row r="52" spans="14:19">
      <c r="N52" s="39" t="s">
        <v>26</v>
      </c>
      <c r="O52" s="40">
        <v>129.9744808225</v>
      </c>
      <c r="S52" s="36"/>
    </row>
    <row r="53" spans="14:19">
      <c r="N53" s="39" t="s">
        <v>25</v>
      </c>
      <c r="O53" s="40">
        <v>128.04027568999999</v>
      </c>
      <c r="S53" s="36"/>
    </row>
    <row r="54" spans="14:19">
      <c r="N54" s="39" t="s">
        <v>35</v>
      </c>
      <c r="O54" s="40">
        <v>124.67980584500002</v>
      </c>
      <c r="S54" s="36"/>
    </row>
    <row r="55" spans="14:19">
      <c r="N55" s="39" t="s">
        <v>36</v>
      </c>
      <c r="O55" s="40">
        <v>96.184650787500104</v>
      </c>
      <c r="S55" s="36"/>
    </row>
    <row r="56" spans="14:19">
      <c r="N56" s="39" t="s">
        <v>22</v>
      </c>
      <c r="O56" s="40">
        <v>85.861877705000012</v>
      </c>
      <c r="S56" s="36"/>
    </row>
    <row r="57" spans="14:19">
      <c r="N57" s="39" t="s">
        <v>28</v>
      </c>
      <c r="O57" s="40">
        <v>60.593246457332903</v>
      </c>
      <c r="S57" s="36"/>
    </row>
    <row r="58" spans="14:19">
      <c r="N58" s="39" t="s">
        <v>34</v>
      </c>
      <c r="O58" s="40">
        <v>58.051454570000004</v>
      </c>
      <c r="S58" s="36"/>
    </row>
    <row r="59" spans="14:19">
      <c r="N59" s="39" t="s">
        <v>40</v>
      </c>
      <c r="O59" s="40">
        <v>43.602485272499919</v>
      </c>
      <c r="S59" s="36"/>
    </row>
    <row r="60" spans="14:19">
      <c r="N60" s="39" t="s">
        <v>31</v>
      </c>
      <c r="O60" s="40">
        <v>37.17466799999999</v>
      </c>
      <c r="S60" s="36"/>
    </row>
    <row r="61" spans="14:19">
      <c r="N61" s="39" t="s">
        <v>38</v>
      </c>
      <c r="O61" s="40">
        <v>8.2053006600000025</v>
      </c>
      <c r="S61" s="36"/>
    </row>
    <row r="62" spans="14:19">
      <c r="N62" s="39" t="s">
        <v>29</v>
      </c>
      <c r="O62" s="40">
        <v>5.5740325325000004</v>
      </c>
      <c r="S62" s="36"/>
    </row>
    <row r="63" spans="14:19">
      <c r="N63" s="39" t="s">
        <v>17</v>
      </c>
      <c r="O63" s="40">
        <v>3.5265919999999999</v>
      </c>
      <c r="S63" s="36"/>
    </row>
    <row r="64" spans="14:19">
      <c r="N64" s="39" t="s">
        <v>37</v>
      </c>
      <c r="O64" s="40">
        <v>3.4449190000000001</v>
      </c>
      <c r="S64" s="99"/>
    </row>
    <row r="65" spans="6:19">
      <c r="N65" s="39" t="s">
        <v>19</v>
      </c>
      <c r="O65" s="40">
        <v>2.6481629999999994</v>
      </c>
      <c r="S65" s="36"/>
    </row>
    <row r="66" spans="6:19">
      <c r="N66" s="39" t="s">
        <v>39</v>
      </c>
      <c r="O66" s="40">
        <v>1.1005480000000001</v>
      </c>
      <c r="S66" s="36"/>
    </row>
    <row r="67" spans="6:19">
      <c r="N67" s="39" t="s">
        <v>21</v>
      </c>
      <c r="O67" s="40">
        <v>1.0052429999999999</v>
      </c>
      <c r="S67" s="36"/>
    </row>
    <row r="68" spans="6:19">
      <c r="N68" t="s">
        <v>32</v>
      </c>
      <c r="O68" s="40">
        <v>0.34484854500000001</v>
      </c>
      <c r="S68" s="36"/>
    </row>
    <row r="70" spans="6:19">
      <c r="F70" s="64"/>
    </row>
    <row r="71" spans="6:19">
      <c r="F71" s="64"/>
    </row>
    <row r="72" spans="6:19">
      <c r="F72" s="64"/>
    </row>
    <row r="73" spans="6:19">
      <c r="F73" s="64"/>
    </row>
    <row r="74" spans="6:19">
      <c r="F74" s="64"/>
    </row>
    <row r="75" spans="6:19">
      <c r="F75" s="64"/>
    </row>
    <row r="76" spans="6:19">
      <c r="F76" s="64"/>
    </row>
    <row r="77" spans="6:19">
      <c r="F77" s="64"/>
    </row>
    <row r="78" spans="6:19">
      <c r="F78" s="64"/>
    </row>
    <row r="79" spans="6:19">
      <c r="F79" s="64"/>
    </row>
    <row r="80" spans="6:19">
      <c r="F80" s="64"/>
    </row>
    <row r="81" spans="6:6">
      <c r="F81" s="64"/>
    </row>
    <row r="82" spans="6:6">
      <c r="F82" s="64"/>
    </row>
    <row r="83" spans="6:6">
      <c r="F83" s="64"/>
    </row>
    <row r="84" spans="6:6">
      <c r="F84" s="64"/>
    </row>
    <row r="85" spans="6:6">
      <c r="F85" s="64"/>
    </row>
    <row r="86" spans="6:6">
      <c r="F86" s="64"/>
    </row>
    <row r="87" spans="6:6">
      <c r="F87" s="64"/>
    </row>
    <row r="88" spans="6:6">
      <c r="F88" s="64"/>
    </row>
    <row r="89" spans="6:6">
      <c r="F89" s="64"/>
    </row>
    <row r="90" spans="6:6">
      <c r="F90" s="64"/>
    </row>
    <row r="91" spans="6:6">
      <c r="F91" s="64"/>
    </row>
    <row r="92" spans="6:6">
      <c r="F92" s="64"/>
    </row>
    <row r="93" spans="6:6">
      <c r="F93" s="64"/>
    </row>
  </sheetData>
  <sortState ref="R44:S68">
    <sortCondition descending="1" ref="S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2023-01-10T00:55:18Z</dcterms:modified>
</cp:coreProperties>
</file>